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z\Downloads\"/>
    </mc:Choice>
  </mc:AlternateContent>
  <bookViews>
    <workbookView xWindow="390" yWindow="15" windowWidth="8415" windowHeight="7830" activeTab="2"/>
  </bookViews>
  <sheets>
    <sheet name="На выдергивание" sheetId="1" r:id="rId1"/>
    <sheet name="На сжатие" sheetId="6" r:id="rId2"/>
    <sheet name="На опрокидывание" sheetId="2" r:id="rId3"/>
    <sheet name="Справочные св." sheetId="5" r:id="rId4"/>
  </sheets>
  <calcPr calcId="152511"/>
</workbook>
</file>

<file path=xl/calcChain.xml><?xml version="1.0" encoding="utf-8"?>
<calcChain xmlns="http://schemas.openxmlformats.org/spreadsheetml/2006/main">
  <c r="C76" i="2" l="1"/>
  <c r="C77" i="2"/>
  <c r="C43" i="6" l="1"/>
  <c r="C38" i="6"/>
  <c r="C39" i="6" l="1"/>
  <c r="C42" i="6" s="1"/>
  <c r="C35" i="6"/>
  <c r="C36" i="6"/>
  <c r="P23" i="6"/>
  <c r="N23" i="6"/>
  <c r="O23" i="6"/>
  <c r="C34" i="6" s="1"/>
  <c r="C33" i="6"/>
  <c r="C32" i="6"/>
  <c r="C37" i="6" s="1"/>
  <c r="C40" i="6" l="1"/>
  <c r="C41" i="6"/>
  <c r="I44" i="2"/>
  <c r="I41" i="2"/>
  <c r="C31" i="6" l="1"/>
  <c r="G38" i="2"/>
  <c r="H38" i="2"/>
  <c r="I38" i="2"/>
  <c r="J38" i="2"/>
  <c r="C65" i="2"/>
  <c r="C60" i="2"/>
  <c r="C59" i="2"/>
  <c r="C57" i="2"/>
  <c r="C56" i="2"/>
  <c r="C79" i="2"/>
  <c r="C52" i="2"/>
  <c r="C50" i="2"/>
  <c r="C49" i="2"/>
  <c r="C48" i="2"/>
  <c r="C47" i="2"/>
  <c r="C74" i="2"/>
  <c r="C75" i="2" s="1"/>
  <c r="C62" i="2" s="1"/>
  <c r="C58" i="2"/>
  <c r="U12" i="2" s="1"/>
  <c r="C61" i="2" l="1"/>
  <c r="C64" i="2"/>
  <c r="C68" i="2" s="1"/>
  <c r="S12" i="2"/>
  <c r="T12" i="2"/>
  <c r="V12" i="2"/>
  <c r="C78" i="2" s="1"/>
  <c r="C51" i="2"/>
  <c r="H20" i="2"/>
  <c r="C48" i="1"/>
  <c r="H20" i="1"/>
  <c r="C11" i="1"/>
  <c r="C33" i="1" s="1"/>
  <c r="C50" i="1"/>
  <c r="C69" i="2" l="1"/>
  <c r="C51" i="1"/>
  <c r="U12" i="1"/>
  <c r="C52" i="1"/>
  <c r="C54" i="1" s="1"/>
  <c r="C30" i="1"/>
  <c r="C29" i="1"/>
  <c r="V12" i="1" l="1"/>
  <c r="T12" i="1"/>
  <c r="S12" i="1"/>
  <c r="C53" i="1"/>
  <c r="C28" i="1"/>
  <c r="C31" i="1"/>
  <c r="C34" i="1"/>
  <c r="C42" i="1" l="1"/>
  <c r="C41" i="1"/>
  <c r="C44" i="1" s="1"/>
  <c r="C43" i="1"/>
  <c r="C39" i="1"/>
  <c r="C40" i="1"/>
  <c r="C46" i="1" s="1"/>
  <c r="C55" i="1"/>
  <c r="C27" i="1" s="1"/>
  <c r="C63" i="2"/>
  <c r="C53" i="2"/>
  <c r="C54" i="2" s="1"/>
  <c r="C32" i="1"/>
  <c r="C45" i="1" l="1"/>
  <c r="C38" i="1"/>
  <c r="C70" i="2"/>
  <c r="C71" i="2"/>
  <c r="C72" i="2"/>
  <c r="C47" i="1"/>
  <c r="C66" i="2" l="1"/>
  <c r="C55" i="2"/>
  <c r="C37" i="1"/>
  <c r="C36" i="1" s="1"/>
  <c r="C67" i="2" l="1"/>
  <c r="C44" i="2" l="1"/>
  <c r="C41" i="2"/>
  <c r="C42" i="2"/>
  <c r="C45" i="2"/>
  <c r="C46" i="2" l="1"/>
</calcChain>
</file>

<file path=xl/sharedStrings.xml><?xml version="1.0" encoding="utf-8"?>
<sst xmlns="http://schemas.openxmlformats.org/spreadsheetml/2006/main" count="400" uniqueCount="314">
  <si>
    <t>β =</t>
  </si>
  <si>
    <t xml:space="preserve">B = </t>
  </si>
  <si>
    <t>Режим работы опоры</t>
  </si>
  <si>
    <t>Нормальный</t>
  </si>
  <si>
    <t>Тип опоры</t>
  </si>
  <si>
    <t>Промежуточная угловая</t>
  </si>
  <si>
    <t>Промежуточная прямая</t>
  </si>
  <si>
    <t>Стойка портала ОРУ</t>
  </si>
  <si>
    <t>Специальная опора</t>
  </si>
  <si>
    <t>Характеристика фундамента</t>
  </si>
  <si>
    <t>Ф1-А</t>
  </si>
  <si>
    <t>Ф2-А</t>
  </si>
  <si>
    <t>Ф3-А</t>
  </si>
  <si>
    <t>Ф4-А</t>
  </si>
  <si>
    <t>Ф5-А</t>
  </si>
  <si>
    <t>подошва</t>
  </si>
  <si>
    <t>масса</t>
  </si>
  <si>
    <t>1.5х1.5</t>
  </si>
  <si>
    <t>1.8х1.8</t>
  </si>
  <si>
    <t>2.1х2.1</t>
  </si>
  <si>
    <t>2.4х2.4</t>
  </si>
  <si>
    <t>2.7х2.7</t>
  </si>
  <si>
    <t>2.5 Т</t>
  </si>
  <si>
    <t>3.0 Т</t>
  </si>
  <si>
    <t>4.3 Т</t>
  </si>
  <si>
    <t>5.0 Т</t>
  </si>
  <si>
    <t>6.5 Т</t>
  </si>
  <si>
    <t>a =</t>
  </si>
  <si>
    <t>град, угол наклона выдергивающей силы к вертикали</t>
  </si>
  <si>
    <t xml:space="preserve">     =</t>
  </si>
  <si>
    <t>λ=d/b=</t>
  </si>
  <si>
    <t>м, глубина заложения подошвы фундамента</t>
  </si>
  <si>
    <r>
      <t>γ</t>
    </r>
    <r>
      <rPr>
        <i/>
        <vertAlign val="subscript"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 xml:space="preserve"> =</t>
    </r>
  </si>
  <si>
    <r>
      <t>γ</t>
    </r>
    <r>
      <rPr>
        <i/>
        <vertAlign val="subscript"/>
        <sz val="12"/>
        <color theme="1"/>
        <rFont val="Times New Roman"/>
        <family val="1"/>
        <charset val="204"/>
      </rPr>
      <t>2</t>
    </r>
    <r>
      <rPr>
        <i/>
        <sz val="12"/>
        <color theme="1"/>
        <rFont val="Times New Roman"/>
        <family val="1"/>
        <charset val="204"/>
      </rPr>
      <t xml:space="preserve"> =</t>
    </r>
  </si>
  <si>
    <r>
      <t>γ</t>
    </r>
    <r>
      <rPr>
        <i/>
        <vertAlign val="subscript"/>
        <sz val="12"/>
        <color theme="1"/>
        <rFont val="Times New Roman"/>
        <family val="1"/>
        <charset val="204"/>
      </rPr>
      <t>3</t>
    </r>
    <r>
      <rPr>
        <i/>
        <sz val="12"/>
        <color theme="1"/>
        <rFont val="Times New Roman"/>
        <family val="1"/>
        <charset val="204"/>
      </rPr>
      <t xml:space="preserve"> =</t>
    </r>
  </si>
  <si>
    <r>
      <t>γ</t>
    </r>
    <r>
      <rPr>
        <i/>
        <vertAlign val="subscript"/>
        <sz val="12"/>
        <color theme="1"/>
        <rFont val="Times New Roman"/>
        <family val="1"/>
        <charset val="204"/>
      </rPr>
      <t>4</t>
    </r>
    <r>
      <rPr>
        <i/>
        <sz val="12"/>
        <color theme="1"/>
        <rFont val="Times New Roman"/>
        <family val="1"/>
        <charset val="204"/>
      </rPr>
      <t xml:space="preserve"> =</t>
    </r>
  </si>
  <si>
    <r>
      <t>γ</t>
    </r>
    <r>
      <rPr>
        <b/>
        <i/>
        <vertAlign val="subscript"/>
        <sz val="12"/>
        <color theme="1"/>
        <rFont val="Times New Roman"/>
        <family val="1"/>
        <charset val="204"/>
      </rPr>
      <t>с</t>
    </r>
    <r>
      <rPr>
        <b/>
        <i/>
        <sz val="12"/>
        <color theme="1"/>
        <rFont val="Times New Roman"/>
        <family val="1"/>
        <charset val="204"/>
      </rPr>
      <t xml:space="preserve"> =</t>
    </r>
  </si>
  <si>
    <t>[N] =</t>
  </si>
  <si>
    <t>Объем,м3</t>
  </si>
  <si>
    <r>
      <t>b</t>
    </r>
    <r>
      <rPr>
        <vertAlign val="subscript"/>
        <sz val="11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>, м</t>
    </r>
  </si>
  <si>
    <t>δ, м</t>
  </si>
  <si>
    <t>м, средняя толщина колонной части</t>
  </si>
  <si>
    <t>Характеристики фундамента</t>
  </si>
  <si>
    <t>Характеристики ригеля</t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</si>
  <si>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</si>
  <si>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b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</si>
  <si>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z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</si>
  <si>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t>м, заглубление середины ригеля от поверхности</t>
  </si>
  <si>
    <t>м, ширина ригеля</t>
  </si>
  <si>
    <t>м, длина ригеля</t>
  </si>
  <si>
    <t>R =</t>
  </si>
  <si>
    <t>м, полная высота фундамента</t>
  </si>
  <si>
    <t xml:space="preserve">D = </t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</si>
  <si>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g</t>
    </r>
    <r>
      <rPr>
        <sz val="11"/>
        <color theme="1"/>
        <rFont val="Calibri"/>
        <family val="2"/>
        <charset val="204"/>
        <scheme val="minor"/>
      </rPr>
      <t xml:space="preserve"> =</t>
    </r>
  </si>
  <si>
    <t>Тс, нормативная сжимающая сила</t>
  </si>
  <si>
    <t>Тс, нормативная выдергивающая сила</t>
  </si>
  <si>
    <t>Тс, нормативный вес фундамента</t>
  </si>
  <si>
    <t>Тс, нормативный вес грунта над фундаментом</t>
  </si>
  <si>
    <r>
      <t>Тс/м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расчетное сопротивление грунта под подошвой фундамента (расч на сжатие)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</si>
  <si>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3</t>
    </r>
    <r>
      <rPr>
        <sz val="9"/>
        <color theme="1"/>
        <rFont val="Calibri"/>
        <family val="2"/>
        <charset val="204"/>
        <scheme val="minor"/>
      </rPr>
      <t>,объем фундамента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</si>
  <si>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</si>
  <si>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</si>
  <si>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rPr>
        <sz val="11"/>
        <color theme="1"/>
        <rFont val="Calibri"/>
        <family val="2"/>
        <charset val="204"/>
      </rPr>
      <t>σ</t>
    </r>
    <r>
      <rPr>
        <vertAlign val="subscript"/>
        <sz val="11"/>
        <color theme="1"/>
        <rFont val="Calibri"/>
        <family val="2"/>
        <charset val="204"/>
      </rPr>
      <t>b</t>
    </r>
    <r>
      <rPr>
        <sz val="11"/>
        <color theme="1"/>
        <rFont val="Calibri"/>
        <family val="2"/>
        <charset val="204"/>
      </rPr>
      <t xml:space="preserve"> =</t>
    </r>
  </si>
  <si>
    <r>
      <t>с'</t>
    </r>
    <r>
      <rPr>
        <vertAlign val="subscript"/>
        <sz val="11"/>
        <color theme="1"/>
        <rFont val="Arial"/>
        <family val="2"/>
        <charset val="204"/>
      </rPr>
      <t>II</t>
    </r>
    <r>
      <rPr>
        <sz val="11"/>
        <color theme="1"/>
        <rFont val="Arial"/>
        <family val="2"/>
        <charset val="204"/>
      </rPr>
      <t xml:space="preserve"> =</t>
    </r>
  </si>
  <si>
    <r>
      <t>φ'</t>
    </r>
    <r>
      <rPr>
        <vertAlign val="subscript"/>
        <sz val="11"/>
        <color theme="1"/>
        <rFont val="Arial"/>
        <family val="2"/>
        <charset val="204"/>
      </rPr>
      <t>II</t>
    </r>
    <r>
      <rPr>
        <sz val="11"/>
        <color theme="1"/>
        <rFont val="Arial"/>
        <family val="2"/>
        <charset val="204"/>
      </rPr>
      <t xml:space="preserve"> =</t>
    </r>
  </si>
  <si>
    <t>ψ =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</si>
  <si>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al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</si>
  <si>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al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</si>
  <si>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b</t>
    </r>
    <r>
      <rPr>
        <vertAlign val="subscript"/>
        <sz val="11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charset val="204"/>
        <scheme val="minor"/>
      </rPr>
      <t xml:space="preserve">  =</t>
    </r>
  </si>
  <si>
    <t>м</t>
  </si>
  <si>
    <t>A =</t>
  </si>
  <si>
    <r>
      <t>W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</si>
  <si>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W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</si>
  <si>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σ</t>
    </r>
    <r>
      <rPr>
        <vertAlign val="subscript"/>
        <sz val="11"/>
        <color theme="1"/>
        <rFont val="Calibri"/>
        <family val="2"/>
        <charset val="204"/>
      </rPr>
      <t>mc</t>
    </r>
    <r>
      <rPr>
        <sz val="11"/>
        <color theme="1"/>
        <rFont val="Calibri"/>
        <family val="2"/>
        <charset val="204"/>
      </rPr>
      <t xml:space="preserve"> =</t>
    </r>
  </si>
  <si>
    <r>
      <t>σ</t>
    </r>
    <r>
      <rPr>
        <vertAlign val="subscript"/>
        <sz val="11"/>
        <color theme="1"/>
        <rFont val="Calibri"/>
        <family val="2"/>
        <charset val="204"/>
      </rPr>
      <t>mt</t>
    </r>
    <r>
      <rPr>
        <sz val="11"/>
        <color theme="1"/>
        <rFont val="Calibri"/>
        <family val="2"/>
        <charset val="204"/>
      </rPr>
      <t xml:space="preserve"> =</t>
    </r>
  </si>
  <si>
    <r>
      <t>Тс/м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</si>
  <si>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t>Наличие грунтовых вод выше подошвы</t>
  </si>
  <si>
    <r>
      <t>σ</t>
    </r>
    <r>
      <rPr>
        <vertAlign val="subscript"/>
        <sz val="11"/>
        <color theme="1"/>
        <rFont val="Calibri"/>
        <family val="2"/>
        <charset val="204"/>
      </rPr>
      <t>с</t>
    </r>
    <r>
      <rPr>
        <sz val="11"/>
        <color theme="1"/>
        <rFont val="Calibri"/>
        <family val="2"/>
        <charset val="204"/>
      </rPr>
      <t xml:space="preserve"> =</t>
    </r>
  </si>
  <si>
    <r>
      <t>σ</t>
    </r>
    <r>
      <rPr>
        <vertAlign val="subscript"/>
        <sz val="11"/>
        <color theme="1"/>
        <rFont val="Arial"/>
        <family val="2"/>
        <charset val="204"/>
      </rPr>
      <t>φ</t>
    </r>
    <r>
      <rPr>
        <sz val="11"/>
        <color theme="1"/>
        <rFont val="Calibri"/>
        <family val="2"/>
        <charset val="204"/>
      </rPr>
      <t xml:space="preserve"> =</t>
    </r>
  </si>
  <si>
    <r>
      <t>σ</t>
    </r>
    <r>
      <rPr>
        <vertAlign val="subscript"/>
        <sz val="11"/>
        <color theme="1"/>
        <rFont val="Calibri"/>
        <family val="2"/>
        <charset val="204"/>
      </rPr>
      <t>p</t>
    </r>
    <r>
      <rPr>
        <sz val="11"/>
        <color theme="1"/>
        <rFont val="Calibri"/>
        <family val="2"/>
        <charset val="204"/>
      </rPr>
      <t xml:space="preserve"> =</t>
    </r>
  </si>
  <si>
    <r>
      <t>z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</si>
  <si>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z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</si>
  <si>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z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</si>
  <si>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t>Тс</t>
  </si>
  <si>
    <t>Тс, нормативная горизонтальная сила</t>
  </si>
  <si>
    <t>b =</t>
  </si>
  <si>
    <t>град, расч угол внут трения грунта засыпки в природном состоянии</t>
  </si>
  <si>
    <t>Пески, кроме пылеватых влажных и насыщенных водой</t>
  </si>
  <si>
    <t>η =</t>
  </si>
  <si>
    <t xml:space="preserve">L = </t>
  </si>
  <si>
    <t>м, размер подошвы вдоль Q</t>
  </si>
  <si>
    <t>м, размер подошвы поперек Q</t>
  </si>
  <si>
    <t xml:space="preserve">[F] = </t>
  </si>
  <si>
    <r>
      <t>G'</t>
    </r>
    <r>
      <rPr>
        <vertAlign val="sub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=</t>
    </r>
  </si>
  <si>
    <t>Тс, с учетом взв действия воды</t>
  </si>
  <si>
    <t>Анкерная прямая без разности тяжений</t>
  </si>
  <si>
    <t>Фундаменты по серии 3.407-115</t>
  </si>
  <si>
    <t>Расчет выдергиваемых грибовидных фундаментов по деформациям не выполняется если выполняется условие: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</si>
  <si>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площадь проекции верхней поверхности фундамента на плоскость, перпендикулярную действию силы</t>
    </r>
  </si>
  <si>
    <t>Общий коэффициент условий работы</t>
  </si>
  <si>
    <t>Коэфф. условий работы, зависящий от расстояния между фундаментами В</t>
  </si>
  <si>
    <t>Коэфф. условий работы, зависящий от режима работы опоры</t>
  </si>
  <si>
    <t>Коэфф. условий работы, зависящий от типа опоры</t>
  </si>
  <si>
    <t>Коэфф. условий работы, зависящий от характеристики фундамента</t>
  </si>
  <si>
    <t>Монтажный/аварийный</t>
  </si>
  <si>
    <t>Анкерно-угловая</t>
  </si>
  <si>
    <t>Концевая, анкерная прямая с разностью тяжений</t>
  </si>
  <si>
    <t>Тип грунта обратной засыпки</t>
  </si>
  <si>
    <t>Плотность грунта обратной засыпки</t>
  </si>
  <si>
    <t>1,55 Т/м3</t>
  </si>
  <si>
    <t>1,7  Т/м3</t>
  </si>
  <si>
    <t>Грунтовых вод НЕТ</t>
  </si>
  <si>
    <t>Грунтовые воды ЕСТЬ</t>
  </si>
  <si>
    <t>Анкерные плиты шарнирно опертых стоек с оттяжками</t>
  </si>
  <si>
    <t>Грибовидные ф-ты, анкерные плиты жестко заделанных стоек с оттяжками</t>
  </si>
  <si>
    <t>Глины и суглинки при 0.5&lt;JL&lt;=0.75</t>
  </si>
  <si>
    <t>Супеси при 0.5&lt;JL&lt;=1</t>
  </si>
  <si>
    <t>Пески пылеватые, влажные и насыщенные водой</t>
  </si>
  <si>
    <t>-</t>
  </si>
  <si>
    <r>
      <t>Пылевато-глинистые грунты при J</t>
    </r>
    <r>
      <rPr>
        <vertAlign val="subscript"/>
        <sz val="9"/>
        <color theme="0" tint="-0.14999847407452621"/>
        <rFont val="Calibri"/>
        <family val="2"/>
        <charset val="204"/>
        <scheme val="minor"/>
      </rPr>
      <t>L</t>
    </r>
    <r>
      <rPr>
        <sz val="9"/>
        <color theme="0" tint="-0.14999847407452621"/>
        <rFont val="Calibri"/>
        <family val="2"/>
        <charset val="204"/>
        <scheme val="minor"/>
      </rPr>
      <t>&lt;= 0.5</t>
    </r>
  </si>
  <si>
    <t>Характеристики грунта обратной засыпки</t>
  </si>
  <si>
    <t>м, большее расстояние от поверхности земли до верха края плиты</t>
  </si>
  <si>
    <t>м, меньшее расстояние от поверхности земли до верха края плиты</t>
  </si>
  <si>
    <r>
      <t>Тс/м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расч уд. сцепление грунта засыпки в природном состоянии</t>
    </r>
  </si>
  <si>
    <t>м, средняя толщина плиты фундамента</t>
  </si>
  <si>
    <t>м, средняя глубина заложения подошвы фундамента (вычисляестя автоматич)</t>
  </si>
  <si>
    <t>м, база опоры (расстояние между соседними фундаментами)</t>
  </si>
  <si>
    <t>коэффициент надежности по назначению фундамента</t>
  </si>
  <si>
    <t>Тс, допускаемая нормативная выдергивающая нагрузка из услови ограничения давления на грунт засыпки</t>
  </si>
  <si>
    <t>Относительное заглубление фундамента</t>
  </si>
  <si>
    <t>Коэффициент пересчета характеристик грунта обратной засыпки</t>
  </si>
  <si>
    <t>Пимечания: 1. при наличии грунтовых вод считается в запас что фундамент полностью погружен в воду</t>
  </si>
  <si>
    <t>Приведенные характеристики грунтов обратной засыпки</t>
  </si>
  <si>
    <t>Тс, сила предельного сопротивления выдергиваемого фундамента</t>
  </si>
  <si>
    <t>м, длина стороны грани призмы выпирания</t>
  </si>
  <si>
    <t>м, расстояние до нижней точки пересечения граней призмы выпирания</t>
  </si>
  <si>
    <t>м, глубина до нижней точки пересечения граней призмы выпирания</t>
  </si>
  <si>
    <t>м2, площадь боковой грани призмы выпирания грунта</t>
  </si>
  <si>
    <t>м2, площадь боковых граней призмы выпирания грунта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</si>
  <si>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объем выпираемого грунта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</si>
  <si>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площадь боковой грани призмы выпирания грунта</t>
    </r>
  </si>
  <si>
    <t>ИСХОДНЫЕ ДАННЫЕ</t>
  </si>
  <si>
    <r>
      <t xml:space="preserve">ПРОВЕРКА </t>
    </r>
    <r>
      <rPr>
        <b/>
        <i/>
        <sz val="11"/>
        <color rgb="FFFF0000"/>
        <rFont val="Calibri"/>
        <family val="2"/>
        <charset val="204"/>
        <scheme val="minor"/>
      </rPr>
      <t>ПО ДЕФОРМАЦИЯМ</t>
    </r>
    <r>
      <rPr>
        <b/>
        <i/>
        <sz val="11"/>
        <color theme="1"/>
        <rFont val="Calibri"/>
        <family val="2"/>
        <charset val="204"/>
        <scheme val="minor"/>
      </rPr>
      <t xml:space="preserve"> (по давлению на грунт засыпки)</t>
    </r>
  </si>
  <si>
    <r>
      <t xml:space="preserve">ПРОВЕРКА </t>
    </r>
    <r>
      <rPr>
        <b/>
        <i/>
        <sz val="11"/>
        <color rgb="FFFF0000"/>
        <rFont val="Calibri"/>
        <family val="2"/>
        <charset val="204"/>
        <scheme val="minor"/>
      </rPr>
      <t>ПО НЕСУЩЕЙ СПОСОБНОСТИ</t>
    </r>
    <r>
      <rPr>
        <b/>
        <i/>
        <sz val="11"/>
        <color theme="1"/>
        <rFont val="Calibri"/>
        <family val="2"/>
        <charset val="204"/>
        <scheme val="minor"/>
      </rPr>
      <t xml:space="preserve"> (устойчивости)</t>
    </r>
  </si>
  <si>
    <t>Тс, допускаемая расчетная выдергивающая нагрузка из условия несущей способности выпираемого объема</t>
  </si>
  <si>
    <r>
      <t>Тс/м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, расч объемный вес грунта обратной засыпки ниже УГВ </t>
    </r>
    <r>
      <rPr>
        <b/>
        <sz val="10"/>
        <color theme="1"/>
        <rFont val="Times New Roman"/>
        <family val="1"/>
        <charset val="204"/>
      </rPr>
      <t>с учетом вз д воды</t>
    </r>
  </si>
  <si>
    <r>
      <t xml:space="preserve">Тс/м3, расч усреднённый объемный вес грунта обратной засыпки </t>
    </r>
    <r>
      <rPr>
        <b/>
        <sz val="10"/>
        <color theme="1"/>
        <rFont val="Times New Roman"/>
        <family val="1"/>
        <charset val="204"/>
      </rPr>
      <t>с учетом вз д воды</t>
    </r>
  </si>
  <si>
    <t>м, расстояние от поверхности земли до уровня грунтовых вод (глубина до УГВ)</t>
  </si>
  <si>
    <t>м, меньший размер подошвы (размер вдоль наклона силы N)</t>
  </si>
  <si>
    <t>м, больший размер подошвы (размер поперек наклона силы N)</t>
  </si>
  <si>
    <t xml:space="preserve">l = </t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</si>
  <si>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 xml:space="preserve">0 </t>
    </r>
    <r>
      <rPr>
        <i/>
        <sz val="11"/>
        <color theme="1"/>
        <rFont val="Times New Roman"/>
        <family val="1"/>
        <charset val="204"/>
      </rPr>
      <t xml:space="preserve">= </t>
    </r>
  </si>
  <si>
    <r>
      <t>A</t>
    </r>
    <r>
      <rPr>
        <b/>
        <i/>
        <vertAlign val="subscript"/>
        <sz val="11"/>
        <color theme="1"/>
        <rFont val="Times New Roman"/>
        <family val="1"/>
        <charset val="204"/>
      </rPr>
      <t>0</t>
    </r>
    <r>
      <rPr>
        <b/>
        <i/>
        <sz val="11"/>
        <color theme="1"/>
        <rFont val="Times New Roman"/>
        <family val="1"/>
        <charset val="204"/>
      </rPr>
      <t xml:space="preserve"> = </t>
    </r>
  </si>
  <si>
    <r>
      <t>l</t>
    </r>
    <r>
      <rPr>
        <i/>
        <vertAlign val="sub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= </t>
    </r>
  </si>
  <si>
    <r>
      <t>l</t>
    </r>
    <r>
      <rPr>
        <i/>
        <vertAlign val="subscript"/>
        <sz val="11"/>
        <color theme="1"/>
        <rFont val="Times New Roman"/>
        <family val="1"/>
        <charset val="204"/>
      </rPr>
      <t>2</t>
    </r>
    <r>
      <rPr>
        <i/>
        <sz val="11"/>
        <color theme="1"/>
        <rFont val="Times New Roman"/>
        <family val="1"/>
        <charset val="204"/>
      </rPr>
      <t xml:space="preserve"> = </t>
    </r>
  </si>
  <si>
    <r>
      <t>l</t>
    </r>
    <r>
      <rPr>
        <i/>
        <vertAlign val="subscript"/>
        <sz val="11"/>
        <color theme="1"/>
        <rFont val="Times New Roman"/>
        <family val="1"/>
        <charset val="204"/>
      </rPr>
      <t>k</t>
    </r>
    <r>
      <rPr>
        <i/>
        <sz val="11"/>
        <color theme="1"/>
        <rFont val="Times New Roman"/>
        <family val="1"/>
        <charset val="204"/>
      </rPr>
      <t xml:space="preserve"> = </t>
    </r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</si>
  <si>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>f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</si>
  <si>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>0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</si>
  <si>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A</t>
    </r>
    <r>
      <rPr>
        <i/>
        <vertAlign val="sub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= </t>
    </r>
  </si>
  <si>
    <r>
      <t>A</t>
    </r>
    <r>
      <rPr>
        <i/>
        <vertAlign val="subscript"/>
        <sz val="11"/>
        <color theme="1"/>
        <rFont val="Times New Roman"/>
        <family val="1"/>
        <charset val="204"/>
      </rPr>
      <t>2</t>
    </r>
    <r>
      <rPr>
        <i/>
        <sz val="11"/>
        <color theme="1"/>
        <rFont val="Times New Roman"/>
        <family val="1"/>
        <charset val="204"/>
      </rPr>
      <t xml:space="preserve"> = </t>
    </r>
  </si>
  <si>
    <r>
      <t>2A</t>
    </r>
    <r>
      <rPr>
        <vertAlign val="sub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cosφ</t>
    </r>
    <r>
      <rPr>
        <vertAlign val="sub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 xml:space="preserve">= </t>
    </r>
  </si>
  <si>
    <r>
      <t>F</t>
    </r>
    <r>
      <rPr>
        <i/>
        <vertAlign val="subscript"/>
        <sz val="11"/>
        <rFont val="Times New Roman"/>
        <family val="1"/>
        <charset val="204"/>
      </rPr>
      <t>u,a</t>
    </r>
    <r>
      <rPr>
        <i/>
        <sz val="11"/>
        <rFont val="Times New Roman"/>
        <family val="1"/>
        <charset val="204"/>
      </rPr>
      <t xml:space="preserve"> =</t>
    </r>
  </si>
  <si>
    <r>
      <t>V</t>
    </r>
    <r>
      <rPr>
        <i/>
        <vertAlign val="subscript"/>
        <sz val="11"/>
        <rFont val="Times New Roman"/>
        <family val="1"/>
        <charset val="204"/>
      </rPr>
      <t>bf</t>
    </r>
    <r>
      <rPr>
        <i/>
        <sz val="11"/>
        <rFont val="Times New Roman"/>
        <family val="1"/>
        <charset val="204"/>
      </rPr>
      <t xml:space="preserve"> =</t>
    </r>
  </si>
  <si>
    <r>
      <t>γ</t>
    </r>
    <r>
      <rPr>
        <i/>
        <vertAlign val="subscript"/>
        <sz val="11"/>
        <rFont val="Times New Roman"/>
        <family val="1"/>
        <charset val="204"/>
      </rPr>
      <t>n</t>
    </r>
    <r>
      <rPr>
        <i/>
        <sz val="11"/>
        <rFont val="Times New Roman"/>
        <family val="1"/>
        <charset val="204"/>
      </rPr>
      <t xml:space="preserve"> =</t>
    </r>
  </si>
  <si>
    <r>
      <t>γ</t>
    </r>
    <r>
      <rPr>
        <i/>
        <vertAlign val="superscript"/>
        <sz val="11"/>
        <rFont val="Times New Roman"/>
        <family val="1"/>
        <charset val="204"/>
      </rPr>
      <t>w</t>
    </r>
    <r>
      <rPr>
        <i/>
        <vertAlign val="subscript"/>
        <sz val="11"/>
        <rFont val="Times New Roman"/>
        <family val="1"/>
        <charset val="204"/>
      </rPr>
      <t>bf</t>
    </r>
    <r>
      <rPr>
        <i/>
        <sz val="11"/>
        <rFont val="Times New Roman"/>
        <family val="1"/>
        <charset val="204"/>
      </rPr>
      <t xml:space="preserve"> =</t>
    </r>
  </si>
  <si>
    <r>
      <t>γ</t>
    </r>
    <r>
      <rPr>
        <i/>
        <vertAlign val="subscript"/>
        <sz val="11"/>
        <rFont val="Times New Roman"/>
        <family val="1"/>
        <charset val="204"/>
      </rPr>
      <t>bf</t>
    </r>
    <r>
      <rPr>
        <i/>
        <sz val="11"/>
        <rFont val="Times New Roman"/>
        <family val="1"/>
        <charset val="204"/>
      </rPr>
      <t xml:space="preserve"> =</t>
    </r>
  </si>
  <si>
    <r>
      <t>φ</t>
    </r>
    <r>
      <rPr>
        <i/>
        <vertAlign val="subscript"/>
        <sz val="11"/>
        <color theme="1"/>
        <rFont val="Times New Roman"/>
        <family val="1"/>
        <charset val="204"/>
      </rPr>
      <t>0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</si>
  <si>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с</t>
    </r>
    <r>
      <rPr>
        <i/>
        <vertAlign val="subscript"/>
        <sz val="11"/>
        <color theme="1"/>
        <rFont val="Times New Roman"/>
        <family val="1"/>
        <charset val="204"/>
      </rPr>
      <t>0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</si>
  <si>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>1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</si>
  <si>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>2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</si>
  <si>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V</t>
    </r>
    <r>
      <rPr>
        <i/>
        <vertAlign val="subscript"/>
        <sz val="11"/>
        <color theme="1"/>
        <rFont val="Times New Roman"/>
        <family val="1"/>
        <charset val="204"/>
      </rPr>
      <t xml:space="preserve">f </t>
    </r>
    <r>
      <rPr>
        <i/>
        <sz val="11"/>
        <color theme="1"/>
        <rFont val="Times New Roman"/>
        <family val="1"/>
        <charset val="204"/>
      </rPr>
      <t>=</t>
    </r>
  </si>
  <si>
    <r>
      <t>G</t>
    </r>
    <r>
      <rPr>
        <i/>
        <vertAlign val="subscript"/>
        <sz val="11"/>
        <color theme="1"/>
        <rFont val="Times New Roman"/>
        <family val="1"/>
        <charset val="204"/>
      </rPr>
      <t>fn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</si>
  <si>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h</t>
    </r>
    <r>
      <rPr>
        <i/>
        <vertAlign val="subscript"/>
        <sz val="11"/>
        <rFont val="Times New Roman"/>
        <family val="1"/>
        <charset val="204"/>
      </rPr>
      <t>w</t>
    </r>
    <r>
      <rPr>
        <i/>
        <sz val="11"/>
        <rFont val="Times New Roman"/>
        <family val="1"/>
        <charset val="204"/>
      </rPr>
      <t xml:space="preserve"> = </t>
    </r>
  </si>
  <si>
    <r>
      <t>φ</t>
    </r>
    <r>
      <rPr>
        <i/>
        <vertAlign val="subscript"/>
        <sz val="11"/>
        <color theme="1"/>
        <rFont val="Times New Roman"/>
        <family val="1"/>
        <charset val="204"/>
      </rPr>
      <t>I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</si>
  <si>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с</t>
    </r>
    <r>
      <rPr>
        <i/>
        <vertAlign val="subscript"/>
        <sz val="11"/>
        <color theme="1"/>
        <rFont val="Times New Roman"/>
        <family val="1"/>
        <charset val="204"/>
      </rPr>
      <t>I</t>
    </r>
    <r>
      <rPr>
        <i/>
        <sz val="11"/>
        <color theme="1"/>
        <rFont val="Times New Roman"/>
        <family val="1"/>
        <charset val="204"/>
      </rPr>
      <t xml:space="preserve"> =</t>
    </r>
  </si>
  <si>
    <t>Тс/м2,расчетное сопротивление грунта обратной засыпки (вычисляется по типу грунта и λ автоматич)</t>
  </si>
  <si>
    <r>
      <t>d</t>
    </r>
    <r>
      <rPr>
        <i/>
        <vertAlign val="subscript"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 xml:space="preserve">= </t>
    </r>
  </si>
  <si>
    <t xml:space="preserve">b= </t>
  </si>
  <si>
    <r>
      <rPr>
        <i/>
        <sz val="11"/>
        <rFont val="Calibri"/>
        <family val="2"/>
        <charset val="204"/>
      </rPr>
      <t>δ</t>
    </r>
    <r>
      <rPr>
        <i/>
        <sz val="11"/>
        <rFont val="Calibri"/>
        <family val="2"/>
        <charset val="204"/>
        <scheme val="minor"/>
      </rPr>
      <t xml:space="preserve"> = </t>
    </r>
  </si>
  <si>
    <t>δ =</t>
  </si>
  <si>
    <r>
      <t>φ</t>
    </r>
    <r>
      <rPr>
        <i/>
        <vertAlign val="subscript"/>
        <sz val="11"/>
        <color theme="1"/>
        <rFont val="Times New Roman"/>
        <family val="1"/>
        <charset val="204"/>
      </rPr>
      <t>II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</si>
  <si>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с</t>
    </r>
    <r>
      <rPr>
        <i/>
        <vertAlign val="subscript"/>
        <sz val="11"/>
        <color theme="1"/>
        <rFont val="Times New Roman"/>
        <family val="1"/>
        <charset val="204"/>
      </rPr>
      <t>II</t>
    </r>
    <r>
      <rPr>
        <i/>
        <sz val="11"/>
        <color theme="1"/>
        <rFont val="Times New Roman"/>
        <family val="1"/>
        <charset val="204"/>
      </rPr>
      <t xml:space="preserve"> =</t>
    </r>
  </si>
  <si>
    <r>
      <t>Тс/м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нормативное уд. сцепление грунта засыпки в природном состоянии</t>
    </r>
  </si>
  <si>
    <t>град, нормативный угол внут трения грунта засыпки в природном состоянии</t>
  </si>
  <si>
    <t>приведенное значение характеристики</t>
  </si>
  <si>
    <t>приведенное значение  характеристики</t>
  </si>
  <si>
    <t>приведенное значение  характеристики для нарушенной структуры</t>
  </si>
  <si>
    <r>
      <t>R</t>
    </r>
    <r>
      <rPr>
        <i/>
        <vertAlign val="subscript"/>
        <sz val="11"/>
        <color theme="1"/>
        <rFont val="Calibri"/>
        <family val="2"/>
        <charset val="204"/>
        <scheme val="minor"/>
      </rPr>
      <t>l</t>
    </r>
    <r>
      <rPr>
        <i/>
        <sz val="11"/>
        <color theme="1"/>
        <rFont val="Calibri"/>
        <family val="2"/>
        <charset val="204"/>
        <scheme val="minor"/>
      </rPr>
      <t xml:space="preserve"> =</t>
    </r>
  </si>
  <si>
    <r>
      <t>Q</t>
    </r>
    <r>
      <rPr>
        <b/>
        <vertAlign val="subscript"/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 xml:space="preserve"> =</t>
    </r>
  </si>
  <si>
    <r>
      <t>F</t>
    </r>
    <r>
      <rPr>
        <vertAlign val="superscript"/>
        <sz val="11"/>
        <color theme="1"/>
        <rFont val="Calibri"/>
        <family val="2"/>
        <charset val="204"/>
        <scheme val="minor"/>
      </rPr>
      <t>n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</si>
  <si>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F</t>
    </r>
    <r>
      <rPr>
        <vertAlign val="superscript"/>
        <sz val="11"/>
        <color theme="1"/>
        <rFont val="Calibri"/>
        <family val="2"/>
        <charset val="204"/>
        <scheme val="minor"/>
      </rPr>
      <t>n</t>
    </r>
    <r>
      <rPr>
        <vertAlign val="subscript"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</si>
  <si>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M</t>
    </r>
    <r>
      <rPr>
        <vertAlign val="sub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=</t>
    </r>
  </si>
  <si>
    <t>Нормативные наргузки на фундамент (на верхнем обрезе)</t>
  </si>
  <si>
    <t>м, расчетная ширина стойки в грунте</t>
  </si>
  <si>
    <t>безразмерный коэффициент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</si>
  <si>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площадь проекции плиты фундамента на плоскость, перпендикулярную действию силы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</si>
  <si>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площадь плиты фундамента</t>
    </r>
  </si>
  <si>
    <r>
      <t>A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204"/>
      </rPr>
      <t xml:space="preserve"> = 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</si>
  <si>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Момент сопротивнения низа плиты относительно центральной оси подошвы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</si>
  <si>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 Момент сопротивнения верха плиты относительно центральной оси подошвы</t>
    </r>
  </si>
  <si>
    <r>
      <t>Тс/м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ордината пассивного давления грунта на стойку фундамента при z=d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</si>
  <si>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расчетная площадь поверхности ригеля</t>
    </r>
  </si>
  <si>
    <r>
      <t>Тс/м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давление грунта на ригель</t>
    </r>
  </si>
  <si>
    <t>Основные условия применимости расчета:</t>
  </si>
  <si>
    <t>РЕЗУЛЬТАТЫ РАСЧЕТА</t>
  </si>
  <si>
    <r>
      <t>b</t>
    </r>
    <r>
      <rPr>
        <i/>
        <vertAlign val="subscript"/>
        <sz val="11"/>
        <color theme="1"/>
        <rFont val="Calibri"/>
        <family val="2"/>
        <charset val="204"/>
        <scheme val="minor"/>
      </rPr>
      <t>ср l</t>
    </r>
    <r>
      <rPr>
        <i/>
        <sz val="11"/>
        <color theme="1"/>
        <rFont val="Calibri"/>
        <family val="2"/>
        <charset val="204"/>
        <scheme val="minor"/>
      </rPr>
      <t xml:space="preserve"> =</t>
    </r>
  </si>
  <si>
    <r>
      <t>d /b</t>
    </r>
    <r>
      <rPr>
        <i/>
        <vertAlign val="subscript"/>
        <sz val="11"/>
        <color theme="1"/>
        <rFont val="Calibri"/>
        <family val="2"/>
        <charset val="204"/>
        <scheme val="minor"/>
      </rPr>
      <t>ср l</t>
    </r>
    <r>
      <rPr>
        <i/>
        <sz val="11"/>
        <color theme="1"/>
        <rFont val="Calibri"/>
        <family val="2"/>
        <charset val="204"/>
        <scheme val="minor"/>
      </rPr>
      <t xml:space="preserve"> ≤ 8</t>
    </r>
  </si>
  <si>
    <t>δ/d≤ 8</t>
  </si>
  <si>
    <r>
      <t>d</t>
    </r>
    <r>
      <rPr>
        <sz val="11"/>
        <color theme="1"/>
        <rFont val="Times New Roman"/>
        <family val="1"/>
        <charset val="204"/>
      </rPr>
      <t>≥1,5 м</t>
    </r>
  </si>
  <si>
    <r>
      <t>Тс/м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расчетное давление на грунт ообратной засыпки по верхней плоскости плиты фундамента</t>
    </r>
  </si>
  <si>
    <t>Тс, сила отпора грунта на ригель</t>
  </si>
  <si>
    <t>м, расстояние от поверхности грунта до точки пересечения эпюр σp и σQ</t>
  </si>
  <si>
    <r>
      <t>d/</t>
    </r>
    <r>
      <rPr>
        <sz val="11"/>
        <color theme="1"/>
        <rFont val="Times New Roman"/>
        <family val="1"/>
        <charset val="204"/>
      </rPr>
      <t>√А</t>
    </r>
    <r>
      <rPr>
        <i/>
        <sz val="11"/>
        <color theme="1"/>
        <rFont val="Calibri"/>
        <family val="2"/>
        <charset val="204"/>
        <scheme val="minor"/>
      </rPr>
      <t xml:space="preserve"> ≤ 8</t>
    </r>
  </si>
  <si>
    <t>Допускаемая приведенная поперечная сила</t>
  </si>
  <si>
    <t>При сжатии с опрокидыванием</t>
  </si>
  <si>
    <t>При выдергивании с опрокидыванием</t>
  </si>
  <si>
    <t>Тс минимальная допустимая сила Q</t>
  </si>
  <si>
    <t>Приведенные к Q нагрузки с учетом наклона стойки</t>
  </si>
  <si>
    <t>Тс*м, нормативный изгибающий момент (значение с плюсом если момент увеличивает Q)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</si>
  <si>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,объем фундамента</t>
    </r>
  </si>
  <si>
    <r>
      <t>Q</t>
    </r>
    <r>
      <rPr>
        <b/>
        <vertAlign val="subscript"/>
        <sz val="11"/>
        <color theme="1"/>
        <rFont val="Calibri"/>
        <family val="2"/>
        <charset val="204"/>
        <scheme val="minor"/>
      </rPr>
      <t>n сж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</si>
  <si>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Q</t>
    </r>
    <r>
      <rPr>
        <b/>
        <vertAlign val="subscript"/>
        <sz val="11"/>
        <color theme="1"/>
        <rFont val="Calibri"/>
        <family val="2"/>
        <charset val="204"/>
        <scheme val="minor"/>
      </rPr>
      <t>n выр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</si>
  <si>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[Q</t>
    </r>
    <r>
      <rPr>
        <vertAlign val="subscript"/>
        <sz val="11"/>
        <color theme="1"/>
        <rFont val="Calibri"/>
        <family val="2"/>
        <charset val="204"/>
        <scheme val="minor"/>
      </rPr>
      <t>R1</t>
    </r>
    <r>
      <rPr>
        <sz val="11"/>
        <color theme="1"/>
        <rFont val="Calibri"/>
        <family val="2"/>
        <charset val="204"/>
        <scheme val="minor"/>
      </rPr>
      <t xml:space="preserve">]= </t>
    </r>
  </si>
  <si>
    <r>
      <t>[Q</t>
    </r>
    <r>
      <rPr>
        <vertAlign val="subscript"/>
        <sz val="11"/>
        <color theme="1"/>
        <rFont val="Calibri"/>
        <family val="2"/>
        <charset val="204"/>
        <scheme val="minor"/>
      </rPr>
      <t>R2</t>
    </r>
    <r>
      <rPr>
        <sz val="11"/>
        <color theme="1"/>
        <rFont val="Calibri"/>
        <family val="2"/>
        <charset val="204"/>
        <scheme val="minor"/>
      </rPr>
      <t xml:space="preserve">]= </t>
    </r>
  </si>
  <si>
    <r>
      <t>[Q</t>
    </r>
    <r>
      <rPr>
        <vertAlign val="subscript"/>
        <sz val="11"/>
        <color theme="1"/>
        <rFont val="Calibri"/>
        <family val="2"/>
        <charset val="204"/>
        <scheme val="minor"/>
      </rPr>
      <t>R3</t>
    </r>
    <r>
      <rPr>
        <sz val="11"/>
        <color theme="1"/>
        <rFont val="Calibri"/>
        <family val="2"/>
        <charset val="204"/>
        <scheme val="minor"/>
      </rPr>
      <t xml:space="preserve">]= </t>
    </r>
  </si>
  <si>
    <r>
      <t>[Q</t>
    </r>
    <r>
      <rPr>
        <vertAlign val="subscript"/>
        <sz val="11"/>
        <color theme="1"/>
        <rFont val="Calibri"/>
        <family val="2"/>
        <charset val="204"/>
        <scheme val="minor"/>
      </rPr>
      <t>R4</t>
    </r>
    <r>
      <rPr>
        <sz val="11"/>
        <color theme="1"/>
        <rFont val="Calibri"/>
        <family val="2"/>
        <charset val="204"/>
        <scheme val="minor"/>
      </rPr>
      <t xml:space="preserve">]= </t>
    </r>
  </si>
  <si>
    <r>
      <t>[Q</t>
    </r>
    <r>
      <rPr>
        <b/>
        <vertAlign val="subscript"/>
        <sz val="11"/>
        <color theme="1"/>
        <rFont val="Calibri"/>
        <family val="2"/>
        <charset val="204"/>
        <scheme val="minor"/>
      </rPr>
      <t>R</t>
    </r>
    <r>
      <rPr>
        <b/>
        <sz val="11"/>
        <color theme="1"/>
        <rFont val="Calibri"/>
        <family val="2"/>
        <charset val="204"/>
        <scheme val="minor"/>
      </rPr>
      <t>]</t>
    </r>
    <r>
      <rPr>
        <b/>
        <vertAlign val="subscript"/>
        <sz val="11"/>
        <color theme="1"/>
        <rFont val="Calibri"/>
        <family val="2"/>
        <charset val="204"/>
        <scheme val="minor"/>
      </rPr>
      <t>min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</si>
  <si>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Тс/м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расчетное давление на грунт основания под подошвой фундамента</t>
    </r>
  </si>
  <si>
    <r>
      <t>При расчете по деформация среднее давление под подошвой фундамента</t>
    </r>
    <r>
      <rPr>
        <i/>
        <sz val="11"/>
        <color theme="1"/>
        <rFont val="Times New Roman"/>
        <family val="1"/>
        <charset val="204"/>
      </rPr>
      <t xml:space="preserve"> p</t>
    </r>
    <r>
      <rPr>
        <sz val="11"/>
        <color theme="1"/>
        <rFont val="Times New Roman"/>
        <family val="1"/>
        <charset val="204"/>
      </rPr>
      <t xml:space="preserve"> не должно превышать расчетного сопротивления грунта </t>
    </r>
    <r>
      <rPr>
        <i/>
        <sz val="11"/>
        <color theme="1"/>
        <rFont val="Times New Roman"/>
        <family val="1"/>
        <charset val="204"/>
      </rPr>
      <t>R</t>
    </r>
  </si>
  <si>
    <t>4 и более</t>
  </si>
  <si>
    <t>1,5 и менее</t>
  </si>
  <si>
    <t>Крупнообломочные с песчаным заполнителем и пески, кроме мелких и пылеватых</t>
  </si>
  <si>
    <t>Пески мелкие</t>
  </si>
  <si>
    <t>коэффициент</t>
  </si>
  <si>
    <t>Пески пылеватые: маловлажные</t>
  </si>
  <si>
    <t>Расчет по СП 22.13330.2016</t>
  </si>
  <si>
    <t>Пески пылеватые: влажные, насыщенные водой</t>
  </si>
  <si>
    <t>Глинистые грунты при  0.25&lt;JL&lt;=0.5</t>
  </si>
  <si>
    <t>Рыхлые пески</t>
  </si>
  <si>
    <t>Тип грунта под подошвой фундамента</t>
  </si>
  <si>
    <t>Гибкая конструктивная схема</t>
  </si>
  <si>
    <t>Жесткая конструктивная схема</t>
  </si>
  <si>
    <t>Способ определения характеристик грунта</t>
  </si>
  <si>
    <t>Определены непосредственными испытаниями</t>
  </si>
  <si>
    <t>Определны по таблицам</t>
  </si>
  <si>
    <t>     - сооружения типа башен, силосных корпусов, дымовых труб, домен и др.</t>
  </si>
  <si>
    <t xml:space="preserve">     - здания панельные, блочные и кирпичные, в которых междуэтажные перекрытия опираются по всему контуру на поперечные и </t>
  </si>
  <si>
    <t>продольные стены или только на поперечные несущие стены при малом их шаге;</t>
  </si>
  <si>
    <t>1. к числу зданий и сооружений с жесткой конструктивной схемой относятся:</t>
  </si>
  <si>
    <t>2. Расчетные значения φII ,сII  и γ II определяют при доверительной вероятности для расч. по предельному состоянию II равной 0,85.</t>
  </si>
  <si>
    <r>
      <t>φ</t>
    </r>
    <r>
      <rPr>
        <vertAlign val="subscript"/>
        <sz val="11"/>
        <color theme="1"/>
        <rFont val="Times New Roman"/>
        <family val="1"/>
        <charset val="204"/>
      </rPr>
      <t>II</t>
    </r>
    <r>
      <rPr>
        <sz val="11"/>
        <color theme="1"/>
        <rFont val="Times New Roman"/>
        <family val="1"/>
        <charset val="204"/>
      </rPr>
      <t xml:space="preserve"> =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</si>
  <si>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II</t>
    </r>
    <r>
      <rPr>
        <sz val="11"/>
        <color theme="1"/>
        <rFont val="Times New Roman"/>
        <family val="1"/>
        <charset val="204"/>
      </rPr>
      <t xml:space="preserve"> =</t>
    </r>
  </si>
  <si>
    <t>k =</t>
  </si>
  <si>
    <t>коэфф. условий работы, зависящий от типа грунта под подошвой фундамента и конструктивн. схемы здания</t>
  </si>
  <si>
    <t>коэфф. условий работы, зависящий от типа грунта под подошвой фундамента</t>
  </si>
  <si>
    <t>коэфф., зависящий от способа определения характеристик грунтов</t>
  </si>
  <si>
    <t>коэфф., зависящий от ширины подошвы фундамента</t>
  </si>
  <si>
    <r>
      <t xml:space="preserve">м, ширина подошвы фундамента </t>
    </r>
    <r>
      <rPr>
        <vertAlign val="superscript"/>
        <sz val="10"/>
        <color theme="1"/>
        <rFont val="Times New Roman"/>
        <family val="1"/>
        <charset val="204"/>
      </rPr>
      <t>3</t>
    </r>
  </si>
  <si>
    <t>4. При плитных фундаментах за d1 принимают наименьшую глубину от подошвы плиты до уровня планировки;</t>
  </si>
  <si>
    <r>
      <t xml:space="preserve">м, глубина заложения подошвы фундамента от уровня планировки 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</si>
  <si>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</si>
  <si>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h</t>
    </r>
    <r>
      <rPr>
        <vertAlign val="subscript"/>
        <sz val="11"/>
        <color theme="1"/>
        <rFont val="Times New Roman"/>
        <family val="1"/>
        <charset val="204"/>
      </rPr>
      <t>w</t>
    </r>
    <r>
      <rPr>
        <sz val="11"/>
        <color theme="1"/>
        <rFont val="Times New Roman"/>
        <family val="1"/>
        <charset val="204"/>
      </rPr>
      <t xml:space="preserve"> = </t>
    </r>
  </si>
  <si>
    <r>
      <t>γ</t>
    </r>
    <r>
      <rPr>
        <vertAlign val="subscript"/>
        <sz val="11"/>
        <color theme="1"/>
        <rFont val="Times New Roman"/>
        <family val="1"/>
        <charset val="204"/>
      </rPr>
      <t>с1</t>
    </r>
    <r>
      <rPr>
        <sz val="11"/>
        <color theme="1"/>
        <rFont val="Times New Roman"/>
        <family val="1"/>
        <charset val="204"/>
      </rPr>
      <t xml:space="preserve"> =</t>
    </r>
  </si>
  <si>
    <r>
      <t>γ</t>
    </r>
    <r>
      <rPr>
        <vertAlign val="subscript"/>
        <sz val="11"/>
        <color theme="1"/>
        <rFont val="Times New Roman"/>
        <family val="1"/>
        <charset val="204"/>
      </rPr>
      <t>с2</t>
    </r>
    <r>
      <rPr>
        <sz val="11"/>
        <color theme="1"/>
        <rFont val="Times New Roman"/>
        <family val="1"/>
        <charset val="204"/>
      </rPr>
      <t xml:space="preserve"> =</t>
    </r>
  </si>
  <si>
    <r>
      <t>k</t>
    </r>
    <r>
      <rPr>
        <vertAlign val="subscript"/>
        <sz val="11"/>
        <color theme="1"/>
        <rFont val="Times New Roman"/>
        <family val="1"/>
        <charset val="204"/>
      </rPr>
      <t xml:space="preserve">z </t>
    </r>
    <r>
      <rPr>
        <sz val="11"/>
        <color theme="1"/>
        <rFont val="Times New Roman"/>
        <family val="1"/>
        <charset val="204"/>
      </rPr>
      <t>=</t>
    </r>
  </si>
  <si>
    <t>Есть подвал</t>
  </si>
  <si>
    <t>Бесподвальное здание/сооружение</t>
  </si>
  <si>
    <r>
      <t>Глинистые грунты при J</t>
    </r>
    <r>
      <rPr>
        <vertAlign val="subscript"/>
        <sz val="9"/>
        <color theme="0" tint="-0.34998626667073579"/>
        <rFont val="Calibri"/>
        <family val="2"/>
        <charset val="204"/>
        <scheme val="minor"/>
      </rPr>
      <t>L</t>
    </r>
    <r>
      <rPr>
        <sz val="9"/>
        <color theme="0" tint="-0.34998626667073579"/>
        <rFont val="Calibri"/>
        <family val="2"/>
        <charset val="204"/>
        <scheme val="minor"/>
      </rPr>
      <t>&lt;= 0.25</t>
    </r>
  </si>
  <si>
    <r>
      <t>Глинистые грунты при J</t>
    </r>
    <r>
      <rPr>
        <vertAlign val="subscript"/>
        <sz val="9"/>
        <color theme="0" tint="-0.34998626667073579"/>
        <rFont val="Calibri"/>
        <family val="2"/>
        <charset val="204"/>
        <scheme val="minor"/>
      </rPr>
      <t>L</t>
    </r>
    <r>
      <rPr>
        <sz val="9"/>
        <color theme="0" tint="-0.34998626667073579"/>
        <rFont val="Calibri"/>
        <family val="2"/>
        <charset val="204"/>
        <scheme val="minor"/>
      </rPr>
      <t>&gt; 0.5</t>
    </r>
  </si>
  <si>
    <r>
      <t xml:space="preserve">Тип конструктивной схемы здания </t>
    </r>
    <r>
      <rPr>
        <vertAlign val="superscript"/>
        <sz val="10"/>
        <color rgb="FFFF0000"/>
        <rFont val="Times New Roman"/>
        <family val="1"/>
        <charset val="204"/>
      </rPr>
      <t>1</t>
    </r>
  </si>
  <si>
    <t>Наличие/отсутствие подвала</t>
  </si>
  <si>
    <r>
      <t>h</t>
    </r>
    <r>
      <rPr>
        <vertAlign val="subscript"/>
        <sz val="11"/>
        <color theme="1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 xml:space="preserve"> = </t>
    </r>
  </si>
  <si>
    <r>
      <t>h</t>
    </r>
    <r>
      <rPr>
        <vertAlign val="subscript"/>
        <sz val="11"/>
        <color theme="1"/>
        <rFont val="Times New Roman"/>
        <family val="1"/>
        <charset val="204"/>
      </rPr>
      <t>cf</t>
    </r>
    <r>
      <rPr>
        <sz val="11"/>
        <color theme="1"/>
        <rFont val="Times New Roman"/>
        <family val="1"/>
        <charset val="204"/>
      </rPr>
      <t xml:space="preserve"> = </t>
    </r>
  </si>
  <si>
    <r>
      <t>γ</t>
    </r>
    <r>
      <rPr>
        <vertAlign val="subscript"/>
        <sz val="11"/>
        <color theme="1"/>
        <rFont val="Times New Roman"/>
        <family val="1"/>
        <charset val="204"/>
      </rPr>
      <t>cf</t>
    </r>
    <r>
      <rPr>
        <sz val="11"/>
        <color theme="1"/>
        <rFont val="Times New Roman"/>
        <family val="1"/>
        <charset val="204"/>
      </rPr>
      <t xml:space="preserve"> = </t>
    </r>
  </si>
  <si>
    <t>м, толщина слоя грунта выше подошвы со стороны подвала</t>
  </si>
  <si>
    <t>м, толщина конструкции пола подвала</t>
  </si>
  <si>
    <t>Тс/м3, расчетное значение удельного веса конструкции пола подвала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</si>
  <si>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 xml:space="preserve"> =</t>
    </r>
  </si>
  <si>
    <r>
      <t>3. Ширину подошвы при наличии щебеночной или бетонной подготовки толщиной h</t>
    </r>
    <r>
      <rPr>
        <vertAlign val="subscript"/>
        <sz val="10"/>
        <color theme="1"/>
        <rFont val="Times New Roman"/>
        <family val="1"/>
        <charset val="204"/>
      </rPr>
      <t>п</t>
    </r>
    <r>
      <rPr>
        <sz val="10"/>
        <color theme="1"/>
        <rFont val="Times New Roman"/>
        <family val="1"/>
        <charset val="204"/>
      </rPr>
      <t xml:space="preserve"> допускается увеличивать на 2h</t>
    </r>
    <r>
      <rPr>
        <vertAlign val="subscript"/>
        <sz val="10"/>
        <color theme="1"/>
        <rFont val="Times New Roman"/>
        <family val="1"/>
        <charset val="204"/>
      </rPr>
      <t>п</t>
    </r>
    <r>
      <rPr>
        <sz val="10"/>
        <color theme="1"/>
        <rFont val="Times New Roman"/>
        <family val="1"/>
        <charset val="204"/>
      </rPr>
      <t xml:space="preserve"> , для круглых фундаментов b=√А</t>
    </r>
  </si>
  <si>
    <t>м, глубина от уровня планировки до прогнозного уровня грунтовых вод</t>
  </si>
  <si>
    <t>Тс/м3, осредненное значение удельного веса грунтов ВЫШЕ  фундамента</t>
  </si>
  <si>
    <t>Тс/м2, удельное сцепление грунта, залегающего непосредственно под подошвой фундамента</t>
  </si>
  <si>
    <r>
      <t>град, осредненное значение угла внутреннего трения грунтов под подошвой фундамента</t>
    </r>
    <r>
      <rPr>
        <vertAlign val="superscript"/>
        <sz val="10"/>
        <color theme="1"/>
        <rFont val="Times New Roman"/>
        <family val="1"/>
        <charset val="204"/>
      </rPr>
      <t xml:space="preserve"> 2</t>
    </r>
  </si>
  <si>
    <r>
      <t>M</t>
    </r>
    <r>
      <rPr>
        <i/>
        <vertAlign val="subscript"/>
        <sz val="11"/>
        <color theme="1"/>
        <rFont val="Times New Roman"/>
        <family val="1"/>
        <charset val="204"/>
      </rPr>
      <t>y</t>
    </r>
    <r>
      <rPr>
        <i/>
        <sz val="11"/>
        <color theme="1"/>
        <rFont val="Times New Roman"/>
        <family val="1"/>
        <charset val="204"/>
      </rPr>
      <t>=</t>
    </r>
  </si>
  <si>
    <r>
      <t>M</t>
    </r>
    <r>
      <rPr>
        <i/>
        <vertAlign val="subscript"/>
        <sz val="11"/>
        <color theme="1"/>
        <rFont val="Times New Roman"/>
        <family val="1"/>
        <charset val="204"/>
      </rPr>
      <t>q</t>
    </r>
    <r>
      <rPr>
        <i/>
        <sz val="11"/>
        <color theme="1"/>
        <rFont val="Times New Roman"/>
        <family val="1"/>
        <charset val="204"/>
      </rPr>
      <t>=</t>
    </r>
  </si>
  <si>
    <r>
      <t>M</t>
    </r>
    <r>
      <rPr>
        <i/>
        <vertAlign val="subscript"/>
        <sz val="11"/>
        <color theme="1"/>
        <rFont val="Times New Roman"/>
        <family val="1"/>
        <charset val="204"/>
      </rPr>
      <t>c</t>
    </r>
    <r>
      <rPr>
        <i/>
        <sz val="11"/>
        <color theme="1"/>
        <rFont val="Times New Roman"/>
        <family val="1"/>
        <charset val="204"/>
      </rPr>
      <t>=</t>
    </r>
  </si>
  <si>
    <r>
      <t xml:space="preserve">Тс/м3, осредненное значение удельного веса грунтов ниже подошвы фундамента без учета грунт. вод </t>
    </r>
    <r>
      <rPr>
        <vertAlign val="superscript"/>
        <sz val="10"/>
        <color theme="1"/>
        <rFont val="Times New Roman"/>
        <family val="1"/>
        <charset val="204"/>
      </rPr>
      <t xml:space="preserve"> 2</t>
    </r>
  </si>
  <si>
    <r>
      <t>γ</t>
    </r>
    <r>
      <rPr>
        <vertAlign val="subscript"/>
        <sz val="11"/>
        <color theme="1"/>
        <rFont val="Times New Roman"/>
        <family val="1"/>
        <charset val="204"/>
      </rPr>
      <t>II</t>
    </r>
    <r>
      <rPr>
        <sz val="11"/>
        <color theme="1"/>
        <rFont val="Times New Roman"/>
        <family val="1"/>
        <charset val="204"/>
      </rPr>
      <t xml:space="preserve"> = </t>
    </r>
  </si>
  <si>
    <r>
      <t>γ'</t>
    </r>
    <r>
      <rPr>
        <vertAlign val="subscript"/>
        <sz val="11"/>
        <color theme="1"/>
        <rFont val="Times New Roman"/>
        <family val="1"/>
        <charset val="204"/>
      </rPr>
      <t>II</t>
    </r>
    <r>
      <rPr>
        <sz val="11"/>
        <color theme="1"/>
        <rFont val="Times New Roman"/>
        <family val="1"/>
        <charset val="204"/>
      </rPr>
      <t xml:space="preserve"> = </t>
    </r>
  </si>
  <si>
    <r>
      <t xml:space="preserve">Тс/м3, осредненное значение удельного веса грунтов ниже подошвы фундамента </t>
    </r>
    <r>
      <rPr>
        <b/>
        <sz val="10"/>
        <color theme="1"/>
        <rFont val="Times New Roman"/>
        <family val="1"/>
        <charset val="204"/>
      </rPr>
      <t>с учетом грунт. вод</t>
    </r>
    <r>
      <rPr>
        <sz val="10"/>
        <color theme="1"/>
        <rFont val="Times New Roman"/>
        <family val="1"/>
        <charset val="204"/>
      </rPr>
      <t xml:space="preserve"> </t>
    </r>
  </si>
  <si>
    <t>Примечания:</t>
  </si>
  <si>
    <t>Расчет сводится к ограничению приведенной поперечной силы Q до расчетных допускаемых значений:</t>
  </si>
  <si>
    <t xml:space="preserve">z = </t>
  </si>
  <si>
    <t xml:space="preserve">м, глубина осреднения характеристик грунтов под подошвой фундамента </t>
  </si>
  <si>
    <t xml:space="preserve">R = </t>
  </si>
  <si>
    <t>Тс/м2, расчетное сопротивление грунта овнования</t>
  </si>
  <si>
    <t>H =</t>
  </si>
  <si>
    <t>L =</t>
  </si>
  <si>
    <t>м, длина сооружения/отсека</t>
  </si>
  <si>
    <t>м, высота сооружения/отсека</t>
  </si>
  <si>
    <t>L/Н =</t>
  </si>
  <si>
    <t>параметр для определения My, Mq, Mc</t>
  </si>
  <si>
    <r>
      <t>Mγ</t>
    </r>
    <r>
      <rPr>
        <sz val="11"/>
        <color rgb="FF000000"/>
        <rFont val="Times New Roman"/>
        <family val="1"/>
        <charset val="204"/>
      </rPr>
      <t> = ψ/4; </t>
    </r>
    <r>
      <rPr>
        <i/>
        <sz val="11"/>
        <color rgb="FF000000"/>
        <rFont val="Times New Roman"/>
        <family val="1"/>
        <charset val="204"/>
      </rPr>
      <t>Mq</t>
    </r>
    <r>
      <rPr>
        <sz val="11"/>
        <color rgb="FF000000"/>
        <rFont val="Times New Roman"/>
        <family val="1"/>
        <charset val="204"/>
      </rPr>
      <t> = 1 + ψ; </t>
    </r>
    <r>
      <rPr>
        <i/>
        <sz val="11"/>
        <color rgb="FF000000"/>
        <rFont val="Times New Roman"/>
        <family val="1"/>
        <charset val="204"/>
      </rPr>
      <t>Mc</t>
    </r>
    <r>
      <rPr>
        <sz val="11"/>
        <color rgb="FF000000"/>
        <rFont val="Times New Roman"/>
        <family val="1"/>
        <charset val="204"/>
      </rPr>
      <t> = ψctg(φ</t>
    </r>
    <r>
      <rPr>
        <vertAlign val="subscript"/>
        <sz val="11"/>
        <color rgb="FF000000"/>
        <rFont val="Times New Roman"/>
        <family val="1"/>
        <charset val="204"/>
      </rPr>
      <t>II</t>
    </r>
    <r>
      <rPr>
        <sz val="11"/>
        <color rgb="FF000000"/>
        <rFont val="Times New Roman"/>
        <family val="1"/>
        <charset val="204"/>
      </rPr>
      <t>)</t>
    </r>
  </si>
  <si>
    <r>
      <t>ψ = π/(ctgφ</t>
    </r>
    <r>
      <rPr>
        <vertAlign val="subscript"/>
        <sz val="11"/>
        <color rgb="FF000000"/>
        <rFont val="Times New Roman"/>
        <family val="1"/>
        <charset val="204"/>
      </rPr>
      <t>II</t>
    </r>
    <r>
      <rPr>
        <sz val="11"/>
        <color rgb="FF000000"/>
        <rFont val="Times New Roman"/>
        <family val="1"/>
        <charset val="204"/>
      </rPr>
      <t> + φ</t>
    </r>
    <r>
      <rPr>
        <vertAlign val="subscript"/>
        <sz val="11"/>
        <color rgb="FF000000"/>
        <rFont val="Times New Roman"/>
        <family val="1"/>
        <charset val="204"/>
      </rPr>
      <t>II</t>
    </r>
    <r>
      <rPr>
        <sz val="11"/>
        <color rgb="FF000000"/>
        <rFont val="Times New Roman"/>
        <family val="1"/>
        <charset val="204"/>
      </rPr>
      <t> – π/2)</t>
    </r>
  </si>
  <si>
    <t>м, расчетная глубина заложения подошвы фундамента для зданий с подвалом и без</t>
  </si>
  <si>
    <t>Расчет по разделу 11 Пособия по проектированию оснований зданий и сооружений к СНиП 2.02.01-83*</t>
  </si>
  <si>
    <t xml:space="preserve">наклон β </t>
  </si>
  <si>
    <t>м, глубина до пола подвала от уровня планировки, при глубине подвала более 2,0 м принимают равной 2,0 м</t>
  </si>
  <si>
    <t>s</t>
  </si>
  <si>
    <r>
      <t xml:space="preserve"> Указанные характеристики находят </t>
    </r>
    <r>
      <rPr>
        <b/>
        <sz val="10"/>
        <color theme="1"/>
        <rFont val="Times New Roman"/>
        <family val="1"/>
        <charset val="204"/>
      </rPr>
      <t>для слоя грунта толщиной z</t>
    </r>
    <r>
      <rPr>
        <sz val="10"/>
        <color theme="1"/>
        <rFont val="Times New Roman"/>
        <family val="1"/>
        <charset val="204"/>
      </rPr>
      <t xml:space="preserve"> ниже подошвы фундамента: z=b/2 при b&lt;10 м и z=4+0,1b при b&gt;=10 м</t>
    </r>
  </si>
  <si>
    <r>
      <t>γ</t>
    </r>
    <r>
      <rPr>
        <vertAlign val="subscript"/>
        <sz val="11"/>
        <color theme="1"/>
        <rFont val="Times New Roman"/>
        <family val="1"/>
        <charset val="204"/>
      </rPr>
      <t>р,II</t>
    </r>
    <r>
      <rPr>
        <sz val="11"/>
        <color theme="1"/>
        <rFont val="Times New Roman"/>
        <family val="1"/>
        <charset val="204"/>
      </rPr>
      <t xml:space="preserve"> = </t>
    </r>
  </si>
  <si>
    <r>
      <t>γ'</t>
    </r>
    <r>
      <rPr>
        <vertAlign val="subscript"/>
        <sz val="11"/>
        <color theme="1"/>
        <rFont val="Times New Roman"/>
        <family val="1"/>
        <charset val="204"/>
      </rPr>
      <t>р,II</t>
    </r>
    <r>
      <rPr>
        <sz val="11"/>
        <color theme="1"/>
        <rFont val="Times New Roman"/>
        <family val="1"/>
        <charset val="204"/>
      </rPr>
      <t xml:space="preserve"> = </t>
    </r>
  </si>
  <si>
    <r>
      <t xml:space="preserve">Тс/м3, осредненное значение удельного веса грунтов выше подошвы фундамента </t>
    </r>
    <r>
      <rPr>
        <b/>
        <sz val="10"/>
        <color theme="1"/>
        <rFont val="Times New Roman"/>
        <family val="1"/>
        <charset val="204"/>
      </rPr>
      <t>с учетом грунт. вод</t>
    </r>
    <r>
      <rPr>
        <sz val="10"/>
        <color theme="1"/>
        <rFont val="Times New Roman"/>
        <family val="1"/>
        <charset val="204"/>
      </rPr>
      <t xml:space="preserve"> </t>
    </r>
  </si>
  <si>
    <t>Тс/м2, расчетное сопротивление грунта обратной засыпки на боковой поверхности стойки (табл 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</si>
</sst>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bscript"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vertAlign val="subscript"/>
      <sz val="9"/>
      <color theme="0" tint="-0.1499984740745262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vertAlign val="subscript"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vertAlign val="subscript"/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sz val="1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rgb="FF00B050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vertAlign val="subscript"/>
      <sz val="9"/>
      <color theme="0" tint="-0.34998626667073579"/>
      <name val="Calibri"/>
      <family val="2"/>
      <charset val="204"/>
      <scheme val="minor"/>
    </font>
    <font>
      <vertAlign val="superscript"/>
      <sz val="10"/>
      <color rgb="FFFF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9" fillId="0" borderId="0" xfId="0" applyFont="1"/>
    <xf numFmtId="0" fontId="8" fillId="0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9" xfId="0" applyFont="1" applyFill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12" fillId="0" borderId="9" xfId="0" applyFon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right"/>
    </xf>
    <xf numFmtId="0" fontId="16" fillId="0" borderId="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19" fillId="0" borderId="0" xfId="0" applyFont="1" applyBorder="1"/>
    <xf numFmtId="2" fontId="0" fillId="2" borderId="12" xfId="0" applyNumberFormat="1" applyFill="1" applyBorder="1" applyAlignment="1">
      <alignment horizontal="center"/>
    </xf>
    <xf numFmtId="0" fontId="19" fillId="0" borderId="13" xfId="0" applyFont="1" applyBorder="1"/>
    <xf numFmtId="164" fontId="0" fillId="2" borderId="1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0" fillId="0" borderId="0" xfId="0" applyFont="1"/>
    <xf numFmtId="0" fontId="0" fillId="2" borderId="1" xfId="0" applyFont="1" applyFill="1" applyBorder="1" applyAlignment="1">
      <alignment horizontal="center"/>
    </xf>
    <xf numFmtId="2" fontId="0" fillId="0" borderId="0" xfId="0" applyNumberFormat="1" applyBorder="1"/>
    <xf numFmtId="0" fontId="15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7" xfId="0" applyFont="1" applyBorder="1"/>
    <xf numFmtId="0" fontId="36" fillId="0" borderId="0" xfId="0" applyFont="1" applyBorder="1"/>
    <xf numFmtId="0" fontId="36" fillId="0" borderId="13" xfId="0" applyFont="1" applyBorder="1"/>
    <xf numFmtId="0" fontId="36" fillId="0" borderId="13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9" fillId="0" borderId="2" xfId="0" applyFont="1" applyBorder="1"/>
    <xf numFmtId="0" fontId="40" fillId="0" borderId="0" xfId="0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1" fillId="0" borderId="0" xfId="0" applyFont="1"/>
    <xf numFmtId="0" fontId="40" fillId="0" borderId="0" xfId="0" applyFont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/>
    <xf numFmtId="0" fontId="19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6" fillId="0" borderId="7" xfId="0" applyFont="1" applyBorder="1" applyAlignment="1">
      <alignment vertical="center"/>
    </xf>
    <xf numFmtId="0" fontId="6" fillId="0" borderId="9" xfId="0" applyFont="1" applyFill="1" applyBorder="1" applyAlignment="1">
      <alignment horizontal="right"/>
    </xf>
    <xf numFmtId="0" fontId="36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0" borderId="7" xfId="0" applyFont="1" applyBorder="1"/>
    <xf numFmtId="2" fontId="39" fillId="3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19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36" fillId="0" borderId="22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2" fontId="0" fillId="2" borderId="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32" fillId="0" borderId="5" xfId="0" applyFont="1" applyBorder="1"/>
    <xf numFmtId="0" fontId="32" fillId="0" borderId="7" xfId="0" applyFont="1" applyBorder="1"/>
    <xf numFmtId="0" fontId="32" fillId="0" borderId="9" xfId="0" applyFont="1" applyBorder="1"/>
    <xf numFmtId="0" fontId="32" fillId="0" borderId="0" xfId="0" applyFont="1" applyBorder="1"/>
    <xf numFmtId="0" fontId="34" fillId="0" borderId="0" xfId="0" applyFont="1" applyBorder="1"/>
    <xf numFmtId="0" fontId="32" fillId="0" borderId="11" xfId="0" applyFont="1" applyBorder="1"/>
    <xf numFmtId="0" fontId="32" fillId="0" borderId="13" xfId="0" applyFont="1" applyBorder="1"/>
    <xf numFmtId="0" fontId="3" fillId="0" borderId="13" xfId="0" applyFont="1" applyBorder="1"/>
    <xf numFmtId="0" fontId="39" fillId="0" borderId="11" xfId="0" applyFont="1" applyBorder="1"/>
    <xf numFmtId="2" fontId="39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3" xfId="0" applyBorder="1"/>
    <xf numFmtId="0" fontId="8" fillId="0" borderId="9" xfId="0" applyFont="1" applyFill="1" applyBorder="1" applyAlignment="1">
      <alignment horizontal="right"/>
    </xf>
    <xf numFmtId="0" fontId="32" fillId="0" borderId="10" xfId="0" applyFont="1" applyBorder="1"/>
    <xf numFmtId="0" fontId="5" fillId="2" borderId="12" xfId="0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36" fillId="0" borderId="15" xfId="0" applyFont="1" applyBorder="1" applyAlignment="1">
      <alignment vertical="center"/>
    </xf>
    <xf numFmtId="2" fontId="0" fillId="2" borderId="4" xfId="0" applyNumberFormat="1" applyFill="1" applyBorder="1"/>
    <xf numFmtId="0" fontId="1" fillId="0" borderId="12" xfId="0" applyFont="1" applyFill="1" applyBorder="1" applyAlignment="1">
      <alignment horizontal="center"/>
    </xf>
    <xf numFmtId="0" fontId="36" fillId="0" borderId="26" xfId="0" applyFont="1" applyFill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31" fillId="0" borderId="7" xfId="0" applyFont="1" applyBorder="1" applyAlignment="1">
      <alignment horizontal="right"/>
    </xf>
    <xf numFmtId="0" fontId="31" fillId="0" borderId="13" xfId="0" applyFont="1" applyBorder="1"/>
    <xf numFmtId="0" fontId="45" fillId="0" borderId="7" xfId="0" applyFont="1" applyBorder="1"/>
    <xf numFmtId="0" fontId="45" fillId="0" borderId="0" xfId="0" applyFont="1" applyBorder="1"/>
    <xf numFmtId="0" fontId="45" fillId="0" borderId="13" xfId="0" applyFont="1" applyFill="1" applyBorder="1"/>
    <xf numFmtId="0" fontId="17" fillId="0" borderId="9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7" fillId="0" borderId="9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35" fillId="0" borderId="9" xfId="0" applyFont="1" applyBorder="1" applyAlignment="1">
      <alignment horizontal="right"/>
    </xf>
    <xf numFmtId="0" fontId="51" fillId="0" borderId="9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51" fillId="0" borderId="28" xfId="0" applyFont="1" applyFill="1" applyBorder="1" applyAlignment="1">
      <alignment horizontal="center"/>
    </xf>
    <xf numFmtId="0" fontId="37" fillId="0" borderId="0" xfId="0" applyFont="1"/>
    <xf numFmtId="0" fontId="1" fillId="0" borderId="0" xfId="0" applyFont="1"/>
    <xf numFmtId="0" fontId="1" fillId="0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1" fillId="0" borderId="5" xfId="0" applyFont="1" applyFill="1" applyBorder="1" applyAlignment="1">
      <alignment horizontal="right"/>
    </xf>
    <xf numFmtId="0" fontId="23" fillId="2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/>
    </xf>
    <xf numFmtId="0" fontId="25" fillId="0" borderId="7" xfId="0" applyFont="1" applyBorder="1"/>
    <xf numFmtId="164" fontId="0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56" fillId="0" borderId="11" xfId="0" applyFont="1" applyBorder="1"/>
    <xf numFmtId="0" fontId="58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8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58" fillId="0" borderId="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2" fontId="0" fillId="2" borderId="24" xfId="0" applyNumberFormat="1" applyFont="1" applyFill="1" applyBorder="1" applyAlignment="1">
      <alignment horizontal="center"/>
    </xf>
    <xf numFmtId="2" fontId="59" fillId="3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ill="1" applyBorder="1"/>
    <xf numFmtId="0" fontId="19" fillId="0" borderId="0" xfId="0" applyFont="1" applyFill="1" applyBorder="1"/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/>
    <xf numFmtId="165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5" fillId="0" borderId="0" xfId="0" applyFont="1" applyFill="1" applyBorder="1"/>
    <xf numFmtId="0" fontId="1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0" xfId="0" applyFont="1" applyFill="1" applyBorder="1"/>
    <xf numFmtId="0" fontId="2" fillId="0" borderId="0" xfId="0" applyFont="1" applyFill="1" applyBorder="1"/>
    <xf numFmtId="0" fontId="2" fillId="4" borderId="34" xfId="0" applyFont="1" applyFill="1" applyBorder="1" applyAlignment="1">
      <alignment horizontal="right"/>
    </xf>
    <xf numFmtId="2" fontId="59" fillId="4" borderId="6" xfId="0" applyNumberFormat="1" applyFont="1" applyFill="1" applyBorder="1" applyAlignment="1">
      <alignment horizontal="center" vertical="center"/>
    </xf>
    <xf numFmtId="2" fontId="0" fillId="5" borderId="16" xfId="0" applyNumberFormat="1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0" fontId="36" fillId="0" borderId="0" xfId="0" applyFont="1"/>
    <xf numFmtId="0" fontId="2" fillId="0" borderId="0" xfId="0" applyFont="1"/>
    <xf numFmtId="0" fontId="6" fillId="7" borderId="2" xfId="0" applyFont="1" applyFill="1" applyBorder="1" applyAlignment="1">
      <alignment horizontal="right"/>
    </xf>
    <xf numFmtId="0" fontId="1" fillId="7" borderId="29" xfId="0" applyFont="1" applyFill="1" applyBorder="1" applyAlignment="1">
      <alignment horizontal="center"/>
    </xf>
    <xf numFmtId="0" fontId="19" fillId="7" borderId="15" xfId="0" applyFont="1" applyFill="1" applyBorder="1"/>
    <xf numFmtId="0" fontId="0" fillId="7" borderId="15" xfId="0" applyFill="1" applyBorder="1"/>
    <xf numFmtId="0" fontId="0" fillId="7" borderId="3" xfId="0" applyFill="1" applyBorder="1"/>
    <xf numFmtId="0" fontId="36" fillId="0" borderId="0" xfId="0" applyFont="1" applyAlignment="1">
      <alignment vertical="center"/>
    </xf>
    <xf numFmtId="0" fontId="62" fillId="0" borderId="0" xfId="0" applyFont="1"/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36" fillId="0" borderId="9" xfId="0" applyFont="1" applyBorder="1"/>
    <xf numFmtId="0" fontId="62" fillId="0" borderId="0" xfId="0" applyFont="1" applyBorder="1"/>
    <xf numFmtId="0" fontId="36" fillId="0" borderId="10" xfId="0" applyFont="1" applyBorder="1"/>
    <xf numFmtId="0" fontId="0" fillId="0" borderId="9" xfId="0" applyBorder="1"/>
    <xf numFmtId="0" fontId="37" fillId="0" borderId="9" xfId="0" applyFont="1" applyBorder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/>
    </xf>
    <xf numFmtId="0" fontId="36" fillId="0" borderId="14" xfId="0" applyFont="1" applyBorder="1"/>
    <xf numFmtId="0" fontId="61" fillId="11" borderId="0" xfId="0" applyFont="1" applyFill="1" applyBorder="1" applyAlignment="1">
      <alignment horizontal="center"/>
    </xf>
    <xf numFmtId="164" fontId="61" fillId="11" borderId="0" xfId="0" applyNumberFormat="1" applyFont="1" applyFill="1" applyBorder="1" applyAlignment="1">
      <alignment horizontal="center"/>
    </xf>
    <xf numFmtId="0" fontId="67" fillId="0" borderId="0" xfId="0" applyFont="1" applyBorder="1"/>
    <xf numFmtId="0" fontId="14" fillId="0" borderId="9" xfId="0" applyFont="1" applyBorder="1" applyAlignment="1">
      <alignment horizontal="right" vertical="center"/>
    </xf>
    <xf numFmtId="2" fontId="61" fillId="11" borderId="0" xfId="0" applyNumberFormat="1" applyFont="1" applyFill="1" applyBorder="1" applyAlignment="1">
      <alignment horizontal="center"/>
    </xf>
    <xf numFmtId="0" fontId="66" fillId="0" borderId="0" xfId="0" applyFont="1" applyBorder="1"/>
    <xf numFmtId="164" fontId="61" fillId="11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right" vertical="center"/>
    </xf>
    <xf numFmtId="0" fontId="71" fillId="0" borderId="2" xfId="0" applyFont="1" applyBorder="1" applyAlignment="1">
      <alignment horizontal="right" vertical="center"/>
    </xf>
    <xf numFmtId="0" fontId="36" fillId="0" borderId="15" xfId="0" applyFont="1" applyBorder="1"/>
    <xf numFmtId="0" fontId="36" fillId="0" borderId="3" xfId="0" applyFont="1" applyBorder="1"/>
    <xf numFmtId="2" fontId="70" fillId="3" borderId="15" xfId="0" applyNumberFormat="1" applyFont="1" applyFill="1" applyBorder="1" applyAlignment="1">
      <alignment horizontal="center"/>
    </xf>
    <xf numFmtId="0" fontId="72" fillId="0" borderId="9" xfId="0" applyFont="1" applyBorder="1" applyAlignment="1">
      <alignment horizontal="right" vertical="center"/>
    </xf>
    <xf numFmtId="0" fontId="69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strike val="0"/>
        <color rgb="FF00B050"/>
      </font>
      <fill>
        <patternFill>
          <bgColor theme="6" tint="0.39994506668294322"/>
        </patternFill>
      </fill>
    </dxf>
    <dxf>
      <font>
        <b/>
        <i val="0"/>
        <strike val="0"/>
        <color rgb="FFFF0000"/>
      </font>
      <fill>
        <patternFill>
          <bgColor theme="9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b/>
        <i val="0"/>
        <strike val="0"/>
        <color rgb="FFFF0000"/>
      </font>
      <fill>
        <patternFill>
          <bgColor theme="9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b/>
        <i val="0"/>
        <strike val="0"/>
        <color rgb="FFFF0000"/>
      </font>
      <fill>
        <patternFill>
          <bgColor theme="9" tint="0.39994506668294322"/>
        </patternFill>
      </fill>
    </dxf>
    <dxf>
      <font>
        <strike val="0"/>
        <color rgb="FF00B050"/>
      </font>
      <fill>
        <patternFill>
          <bgColor theme="6" tint="0.39994506668294322"/>
        </patternFill>
      </fill>
    </dxf>
    <dxf>
      <font>
        <b/>
        <i val="0"/>
        <strike val="0"/>
        <color rgb="FFFF0000"/>
      </font>
      <fill>
        <patternFill>
          <bgColor theme="9" tint="0.39994506668294322"/>
        </patternFill>
      </fill>
    </dxf>
    <dxf>
      <font>
        <strike/>
        <color theme="1"/>
      </font>
      <fill>
        <patternFill>
          <bgColor theme="0" tint="-0.499984740745262"/>
        </patternFill>
      </fill>
    </dxf>
    <dxf>
      <font>
        <strike/>
        <color theme="1"/>
      </font>
      <fill>
        <patternFill>
          <bgColor theme="0" tint="-0.499984740745262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0" tint="-0.499984740745262"/>
      </font>
      <fill>
        <patternFill>
          <bgColor theme="0" tint="-0.34998626667073579"/>
        </patternFill>
      </fill>
    </dxf>
    <dxf>
      <font>
        <strike/>
        <color theme="1"/>
      </font>
      <fill>
        <patternFill>
          <bgColor theme="0" tint="-0.499984740745262"/>
        </patternFill>
      </fill>
    </dxf>
    <dxf>
      <font>
        <strike/>
        <color theme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20" fmlaLink="$I$4" fmlaRange="$N$13:$N$14" noThreeD="1" sel="2" val="0"/>
</file>

<file path=xl/ctrlProps/ctrlProp10.xml><?xml version="1.0" encoding="utf-8"?>
<formControlPr xmlns="http://schemas.microsoft.com/office/spreadsheetml/2009/9/main" objectType="Drop" dropLines="2" dropStyle="combo" dx="20" fmlaLink="$I$7" fmlaRange="$N$19:$N$20" noThreeD="1" sel="1" val="0"/>
</file>

<file path=xl/ctrlProps/ctrlProp11.xml><?xml version="1.0" encoding="utf-8"?>
<formControlPr xmlns="http://schemas.microsoft.com/office/spreadsheetml/2009/9/main" objectType="Drop" dropLines="2" dropStyle="combo" dx="20" fmlaLink="$I$4" fmlaRange="$N$13:$N$14" noThreeD="1" sel="1" val="0"/>
</file>

<file path=xl/ctrlProps/ctrlProp12.xml><?xml version="1.0" encoding="utf-8"?>
<formControlPr xmlns="http://schemas.microsoft.com/office/spreadsheetml/2009/9/main" objectType="Drop" dropLines="7" dropStyle="combo" dx="20" fmlaLink="$I$5" fmlaRange="$N$5:$N$11" noThreeD="1" sel="1" val="0"/>
</file>

<file path=xl/ctrlProps/ctrlProp13.xml><?xml version="1.0" encoding="utf-8"?>
<formControlPr xmlns="http://schemas.microsoft.com/office/spreadsheetml/2009/9/main" objectType="Drop" dropLines="2" dropStyle="combo" dx="20" fmlaLink="$I$6" fmlaRange="$N$2:$N$3" noThreeD="1" sel="1" val="0"/>
</file>

<file path=xl/ctrlProps/ctrlProp14.xml><?xml version="1.0" encoding="utf-8"?>
<formControlPr xmlns="http://schemas.microsoft.com/office/spreadsheetml/2009/9/main" objectType="Drop" dropLines="5" dropStyle="combo" dx="20" fmlaLink="$I$8" fmlaRange="$N$16:$N$20" noThreeD="1" sel="1" val="0"/>
</file>

<file path=xl/ctrlProps/ctrlProp15.xml><?xml version="1.0" encoding="utf-8"?>
<formControlPr xmlns="http://schemas.microsoft.com/office/spreadsheetml/2009/9/main" objectType="Drop" dropLines="2" dropStyle="combo" dx="20" fmlaLink="$I$7" fmlaRange="$N$23:$N$24" noThreeD="1" sel="1" val="0"/>
</file>

<file path=xl/ctrlProps/ctrlProp16.xml><?xml version="1.0" encoding="utf-8"?>
<formControlPr xmlns="http://schemas.microsoft.com/office/spreadsheetml/2009/9/main" objectType="Drop" dropLines="2" dropStyle="combo" dx="20" fmlaLink="$I$9" fmlaRange="$N$21:$N$22" noThreeD="1" sel="2" val="0"/>
</file>

<file path=xl/ctrlProps/ctrlProp2.xml><?xml version="1.0" encoding="utf-8"?>
<formControlPr xmlns="http://schemas.microsoft.com/office/spreadsheetml/2009/9/main" objectType="Drop" dropLines="7" dropStyle="combo" dx="20" fmlaLink="$I$5" fmlaRange="$N$5:$N$11" noThreeD="1" sel="6" val="0"/>
</file>

<file path=xl/ctrlProps/ctrlProp3.xml><?xml version="1.0" encoding="utf-8"?>
<formControlPr xmlns="http://schemas.microsoft.com/office/spreadsheetml/2009/9/main" objectType="Drop" dropLines="2" dropStyle="combo" dx="20" fmlaLink="$I$6" fmlaRange="$N$2:$N$3" noThreeD="1" sel="1" val="0"/>
</file>

<file path=xl/ctrlProps/ctrlProp4.xml><?xml version="1.0" encoding="utf-8"?>
<formControlPr xmlns="http://schemas.microsoft.com/office/spreadsheetml/2009/9/main" objectType="Drop" dropLines="5" dropStyle="combo" dx="20" fmlaLink="$I$8" fmlaRange="$N$16:$N$20" noThreeD="1" sel="4" val="0"/>
</file>

<file path=xl/ctrlProps/ctrlProp5.xml><?xml version="1.0" encoding="utf-8"?>
<formControlPr xmlns="http://schemas.microsoft.com/office/spreadsheetml/2009/9/main" objectType="Drop" dropLines="2" dropStyle="combo" dx="20" fmlaLink="$I$7" fmlaRange="$N$23:$N$24" noThreeD="1" sel="2" val="0"/>
</file>

<file path=xl/ctrlProps/ctrlProp6.xml><?xml version="1.0" encoding="utf-8"?>
<formControlPr xmlns="http://schemas.microsoft.com/office/spreadsheetml/2009/9/main" objectType="Drop" dropLines="2" dropStyle="combo" dx="20" fmlaLink="$I$9" fmlaRange="$N$21:$N$22" noThreeD="1" sel="2" val="0"/>
</file>

<file path=xl/ctrlProps/ctrlProp7.xml><?xml version="1.0" encoding="utf-8"?>
<formControlPr xmlns="http://schemas.microsoft.com/office/spreadsheetml/2009/9/main" objectType="Drop" dropStyle="combo" dx="20" fmlaLink="$I$4" fmlaRange="$N$4:$N$11" noThreeD="1" sel="7" val="0"/>
</file>

<file path=xl/ctrlProps/ctrlProp8.xml><?xml version="1.0" encoding="utf-8"?>
<formControlPr xmlns="http://schemas.microsoft.com/office/spreadsheetml/2009/9/main" objectType="Drop" dropLines="2" dropStyle="combo" dx="20" fmlaLink="$I$5" fmlaRange="$N$13:$N$14" noThreeD="1" sel="2" val="0"/>
</file>

<file path=xl/ctrlProps/ctrlProp9.xml><?xml version="1.0" encoding="utf-8"?>
<formControlPr xmlns="http://schemas.microsoft.com/office/spreadsheetml/2009/9/main" objectType="Drop" dropLines="2" dropStyle="combo" dx="20" fmlaLink="$I$6" fmlaRange="$N$16:$N$17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0</xdr:row>
      <xdr:rowOff>167640</xdr:rowOff>
    </xdr:from>
    <xdr:to>
      <xdr:col>16</xdr:col>
      <xdr:colOff>381000</xdr:colOff>
      <xdr:row>2</xdr:row>
      <xdr:rowOff>67564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72400" y="167640"/>
          <a:ext cx="2057400" cy="290449"/>
        </a:xfrm>
        <a:prstGeom prst="rect">
          <a:avLst/>
        </a:prstGeom>
        <a:noFill/>
      </xdr:spPr>
    </xdr:pic>
    <xdr:clientData/>
  </xdr:twoCellAnchor>
  <xdr:twoCellAnchor>
    <xdr:from>
      <xdr:col>17</xdr:col>
      <xdr:colOff>74295</xdr:colOff>
      <xdr:row>0</xdr:row>
      <xdr:rowOff>123826</xdr:rowOff>
    </xdr:from>
    <xdr:to>
      <xdr:col>19</xdr:col>
      <xdr:colOff>9452</xdr:colOff>
      <xdr:row>2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32695" y="123826"/>
          <a:ext cx="1135307" cy="2666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</xdr:row>
          <xdr:rowOff>0</xdr:rowOff>
        </xdr:from>
        <xdr:to>
          <xdr:col>8</xdr:col>
          <xdr:colOff>466725</xdr:colOff>
          <xdr:row>3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8</xdr:col>
          <xdr:colOff>466725</xdr:colOff>
          <xdr:row>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200025</xdr:rowOff>
        </xdr:from>
        <xdr:to>
          <xdr:col>8</xdr:col>
          <xdr:colOff>466725</xdr:colOff>
          <xdr:row>5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28577</xdr:colOff>
      <xdr:row>2</xdr:row>
      <xdr:rowOff>38100</xdr:rowOff>
    </xdr:from>
    <xdr:to>
      <xdr:col>24</xdr:col>
      <xdr:colOff>9503</xdr:colOff>
      <xdr:row>18</xdr:row>
      <xdr:rowOff>142875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48577" y="428625"/>
          <a:ext cx="6667476" cy="3305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8</xdr:col>
          <xdr:colOff>466725</xdr:colOff>
          <xdr:row>7</xdr:row>
          <xdr:rowOff>200025</xdr:rowOff>
        </xdr:to>
        <xdr:sp macro="" textlink="">
          <xdr:nvSpPr>
            <xdr:cNvPr id="2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8</xdr:col>
          <xdr:colOff>466725</xdr:colOff>
          <xdr:row>6</xdr:row>
          <xdr:rowOff>200025</xdr:rowOff>
        </xdr:to>
        <xdr:sp macro="" textlink="">
          <xdr:nvSpPr>
            <xdr:cNvPr id="3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8</xdr:col>
          <xdr:colOff>466725</xdr:colOff>
          <xdr:row>9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213360</xdr:colOff>
      <xdr:row>54</xdr:row>
      <xdr:rowOff>15239</xdr:rowOff>
    </xdr:from>
    <xdr:to>
      <xdr:col>1</xdr:col>
      <xdr:colOff>367454</xdr:colOff>
      <xdr:row>55</xdr:row>
      <xdr:rowOff>15240</xdr:rowOff>
    </xdr:to>
    <xdr:pic>
      <xdr:nvPicPr>
        <xdr:cNvPr id="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8135" y="10997564"/>
          <a:ext cx="154094" cy="2000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40</xdr:row>
      <xdr:rowOff>28575</xdr:rowOff>
    </xdr:from>
    <xdr:to>
      <xdr:col>11</xdr:col>
      <xdr:colOff>219075</xdr:colOff>
      <xdr:row>42</xdr:row>
      <xdr:rowOff>0</xdr:rowOff>
    </xdr:to>
    <xdr:pic>
      <xdr:nvPicPr>
        <xdr:cNvPr id="2" name="Рисунок 1" descr="C:\Users\korz\AppData\Local\Temp\KClipboardExport\ofp6x3xv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8105775"/>
          <a:ext cx="36957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8</xdr:col>
          <xdr:colOff>457200</xdr:colOff>
          <xdr:row>4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8</xdr:col>
          <xdr:colOff>457200</xdr:colOff>
          <xdr:row>5</xdr:row>
          <xdr:rowOff>9525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8</xdr:col>
          <xdr:colOff>457200</xdr:colOff>
          <xdr:row>6</xdr:row>
          <xdr:rowOff>9525</xdr:rowOff>
        </xdr:to>
        <xdr:sp macro="" textlink="">
          <xdr:nvSpPr>
            <xdr:cNvPr id="5137" name="Drop Dow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8</xdr:col>
          <xdr:colOff>457200</xdr:colOff>
          <xdr:row>7</xdr:row>
          <xdr:rowOff>9525</xdr:rowOff>
        </xdr:to>
        <xdr:sp macro="" textlink="">
          <xdr:nvSpPr>
            <xdr:cNvPr id="5147" name="Drop Down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304800</xdr:colOff>
      <xdr:row>26</xdr:row>
      <xdr:rowOff>114300</xdr:rowOff>
    </xdr:from>
    <xdr:to>
      <xdr:col>21</xdr:col>
      <xdr:colOff>220247</xdr:colOff>
      <xdr:row>45</xdr:row>
      <xdr:rowOff>104775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5086350"/>
          <a:ext cx="4182647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31806</xdr:colOff>
      <xdr:row>2</xdr:row>
      <xdr:rowOff>47625</xdr:rowOff>
    </xdr:from>
    <xdr:to>
      <xdr:col>21</xdr:col>
      <xdr:colOff>609599</xdr:colOff>
      <xdr:row>26</xdr:row>
      <xdr:rowOff>76200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8456" y="438150"/>
          <a:ext cx="5454593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39868</xdr:colOff>
      <xdr:row>1</xdr:row>
      <xdr:rowOff>30816</xdr:rowOff>
    </xdr:from>
    <xdr:to>
      <xdr:col>24</xdr:col>
      <xdr:colOff>262029</xdr:colOff>
      <xdr:row>23</xdr:row>
      <xdr:rowOff>149972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6839" y="411816"/>
          <a:ext cx="6564690" cy="45118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190500</xdr:rowOff>
        </xdr:from>
        <xdr:to>
          <xdr:col>8</xdr:col>
          <xdr:colOff>466725</xdr:colOff>
          <xdr:row>4</xdr:row>
          <xdr:rowOff>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8</xdr:col>
          <xdr:colOff>466725</xdr:colOff>
          <xdr:row>4</xdr:row>
          <xdr:rowOff>200025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200025</xdr:rowOff>
        </xdr:from>
        <xdr:to>
          <xdr:col>8</xdr:col>
          <xdr:colOff>466725</xdr:colOff>
          <xdr:row>5</xdr:row>
          <xdr:rowOff>200025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8</xdr:col>
          <xdr:colOff>466725</xdr:colOff>
          <xdr:row>7</xdr:row>
          <xdr:rowOff>200025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8</xdr:col>
          <xdr:colOff>466725</xdr:colOff>
          <xdr:row>6</xdr:row>
          <xdr:rowOff>200025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8</xdr:col>
          <xdr:colOff>466725</xdr:colOff>
          <xdr:row>9</xdr:row>
          <xdr:rowOff>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104774</xdr:colOff>
      <xdr:row>77</xdr:row>
      <xdr:rowOff>15239</xdr:rowOff>
    </xdr:from>
    <xdr:to>
      <xdr:col>1</xdr:col>
      <xdr:colOff>253153</xdr:colOff>
      <xdr:row>78</xdr:row>
      <xdr:rowOff>8174</xdr:rowOff>
    </xdr:to>
    <xdr:pic>
      <xdr:nvPicPr>
        <xdr:cNvPr id="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4324" y="15598139"/>
          <a:ext cx="148379" cy="1834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104775</xdr:rowOff>
    </xdr:from>
    <xdr:to>
      <xdr:col>16</xdr:col>
      <xdr:colOff>333375</xdr:colOff>
      <xdr:row>12</xdr:row>
      <xdr:rowOff>101953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04775"/>
          <a:ext cx="4619625" cy="2321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485775</xdr:colOff>
      <xdr:row>8</xdr:row>
      <xdr:rowOff>95249</xdr:rowOff>
    </xdr:from>
    <xdr:to>
      <xdr:col>8</xdr:col>
      <xdr:colOff>390525</xdr:colOff>
      <xdr:row>32</xdr:row>
      <xdr:rowOff>53822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1657349"/>
          <a:ext cx="4781550" cy="4530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65"/>
  <sheetViews>
    <sheetView topLeftCell="A10" zoomScaleNormal="100" workbookViewId="0">
      <selection activeCell="C14" sqref="C14"/>
    </sheetView>
  </sheetViews>
  <sheetFormatPr defaultRowHeight="15" x14ac:dyDescent="0.25"/>
  <cols>
    <col min="1" max="1" width="1.5703125" customWidth="1"/>
    <col min="2" max="2" width="8.85546875" customWidth="1"/>
    <col min="3" max="3" width="9.28515625" customWidth="1"/>
    <col min="6" max="6" width="9.42578125" customWidth="1"/>
    <col min="7" max="7" width="12.28515625" customWidth="1"/>
    <col min="9" max="9" width="9.28515625" bestFit="1" customWidth="1"/>
    <col min="11" max="11" width="8.7109375" customWidth="1"/>
    <col min="19" max="19" width="8.85546875" customWidth="1"/>
  </cols>
  <sheetData>
    <row r="1" spans="2:22" x14ac:dyDescent="0.25">
      <c r="B1" s="130" t="s">
        <v>305</v>
      </c>
    </row>
    <row r="2" spans="2:22" ht="15.75" thickBot="1" x14ac:dyDescent="0.3">
      <c r="B2" s="130" t="s">
        <v>97</v>
      </c>
      <c r="C2" s="47"/>
      <c r="D2" s="47"/>
      <c r="E2" s="47"/>
      <c r="F2" s="47"/>
      <c r="G2" s="49"/>
      <c r="I2" s="49"/>
      <c r="K2" s="47"/>
      <c r="N2" s="58" t="s">
        <v>114</v>
      </c>
      <c r="O2" s="46"/>
      <c r="P2" s="46"/>
      <c r="Q2" s="46"/>
      <c r="R2" s="46"/>
      <c r="S2" s="59"/>
      <c r="T2" s="60"/>
      <c r="U2" s="46"/>
      <c r="V2" s="46"/>
    </row>
    <row r="3" spans="2:22" ht="16.149999999999999" customHeight="1" thickBot="1" x14ac:dyDescent="0.3">
      <c r="B3" s="237" t="s">
        <v>141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58" t="s">
        <v>113</v>
      </c>
      <c r="O3" s="46"/>
      <c r="P3" s="46"/>
      <c r="Q3" s="46"/>
      <c r="R3" s="46"/>
      <c r="S3" s="46"/>
      <c r="T3" s="46"/>
      <c r="U3" s="46"/>
      <c r="V3" s="46"/>
    </row>
    <row r="4" spans="2:22" ht="16.149999999999999" customHeight="1" x14ac:dyDescent="0.25">
      <c r="B4" s="89"/>
      <c r="C4" s="90">
        <v>2</v>
      </c>
      <c r="D4" s="90"/>
      <c r="E4" s="16"/>
      <c r="F4" s="16"/>
      <c r="G4" s="16"/>
      <c r="H4" s="16"/>
      <c r="I4" s="111">
        <v>2</v>
      </c>
      <c r="J4" s="113" t="s">
        <v>2</v>
      </c>
      <c r="K4" s="16"/>
      <c r="L4" s="16"/>
      <c r="M4" s="17"/>
      <c r="N4" s="46"/>
      <c r="O4" s="46"/>
      <c r="P4" s="46"/>
      <c r="Q4" s="46"/>
      <c r="R4" s="46"/>
      <c r="S4" s="46"/>
      <c r="T4" s="46"/>
      <c r="U4" s="46"/>
      <c r="V4" s="46"/>
    </row>
    <row r="5" spans="2:22" ht="16.149999999999999" customHeight="1" x14ac:dyDescent="0.25">
      <c r="B5" s="91"/>
      <c r="C5" s="19"/>
      <c r="D5" s="92"/>
      <c r="E5" s="19"/>
      <c r="F5" s="19"/>
      <c r="G5" s="19"/>
      <c r="H5" s="19"/>
      <c r="I5" s="60">
        <v>6</v>
      </c>
      <c r="J5" s="114" t="s">
        <v>4</v>
      </c>
      <c r="K5" s="19"/>
      <c r="L5" s="19"/>
      <c r="M5" s="20"/>
      <c r="N5" s="58" t="s">
        <v>6</v>
      </c>
      <c r="O5" s="46"/>
      <c r="P5" s="46"/>
      <c r="Q5" s="46"/>
      <c r="R5" s="46"/>
      <c r="S5" s="46"/>
      <c r="T5" s="46"/>
      <c r="U5" s="46"/>
      <c r="V5" s="46"/>
    </row>
    <row r="6" spans="2:22" ht="16.149999999999999" customHeight="1" x14ac:dyDescent="0.25">
      <c r="B6" s="91"/>
      <c r="C6" s="19"/>
      <c r="D6" s="92"/>
      <c r="E6" s="29"/>
      <c r="F6" s="19"/>
      <c r="G6" s="93"/>
      <c r="H6" s="19"/>
      <c r="I6" s="60">
        <v>1</v>
      </c>
      <c r="J6" s="114" t="s">
        <v>9</v>
      </c>
      <c r="K6" s="19"/>
      <c r="L6" s="19"/>
      <c r="M6" s="20"/>
      <c r="N6" s="58" t="s">
        <v>5</v>
      </c>
      <c r="O6" s="46"/>
      <c r="P6" s="46"/>
      <c r="Q6" s="46"/>
      <c r="R6" s="46"/>
      <c r="S6" s="61">
        <v>1.55</v>
      </c>
      <c r="T6" s="61">
        <v>1.7</v>
      </c>
      <c r="U6" s="61">
        <v>1.55</v>
      </c>
      <c r="V6" s="61">
        <v>1.7</v>
      </c>
    </row>
    <row r="7" spans="2:22" ht="16.149999999999999" customHeight="1" x14ac:dyDescent="0.25">
      <c r="B7" s="91"/>
      <c r="C7" s="92"/>
      <c r="D7" s="92"/>
      <c r="E7" s="19"/>
      <c r="F7" s="19"/>
      <c r="G7" s="19"/>
      <c r="H7" s="67"/>
      <c r="I7" s="60">
        <v>2</v>
      </c>
      <c r="J7" s="114" t="s">
        <v>76</v>
      </c>
      <c r="K7" s="19"/>
      <c r="L7" s="19"/>
      <c r="M7" s="20"/>
      <c r="N7" s="58" t="s">
        <v>95</v>
      </c>
      <c r="O7" s="46"/>
      <c r="P7" s="46"/>
      <c r="Q7" s="46"/>
      <c r="R7" s="46">
        <v>0.8</v>
      </c>
      <c r="S7" s="61">
        <v>3.2</v>
      </c>
      <c r="T7" s="61">
        <v>3.6</v>
      </c>
      <c r="U7" s="61">
        <v>3.2</v>
      </c>
      <c r="V7" s="61">
        <v>4</v>
      </c>
    </row>
    <row r="8" spans="2:22" ht="16.149999999999999" customHeight="1" x14ac:dyDescent="0.25">
      <c r="B8" s="91"/>
      <c r="C8" s="92"/>
      <c r="D8" s="92"/>
      <c r="E8" s="19"/>
      <c r="F8" s="19"/>
      <c r="G8" s="19"/>
      <c r="H8" s="67"/>
      <c r="I8" s="60">
        <v>4</v>
      </c>
      <c r="J8" s="114" t="s">
        <v>107</v>
      </c>
      <c r="K8" s="19"/>
      <c r="L8" s="19"/>
      <c r="M8" s="20"/>
      <c r="N8" s="58" t="s">
        <v>105</v>
      </c>
      <c r="O8" s="46"/>
      <c r="P8" s="46"/>
      <c r="Q8" s="46"/>
      <c r="R8" s="46">
        <v>1</v>
      </c>
      <c r="S8" s="61">
        <v>4</v>
      </c>
      <c r="T8" s="61">
        <v>4.5</v>
      </c>
      <c r="U8" s="61">
        <v>4</v>
      </c>
      <c r="V8" s="61">
        <v>5</v>
      </c>
    </row>
    <row r="9" spans="2:22" ht="16.149999999999999" customHeight="1" thickBot="1" x14ac:dyDescent="0.3">
      <c r="B9" s="94"/>
      <c r="C9" s="95"/>
      <c r="D9" s="95"/>
      <c r="E9" s="22"/>
      <c r="F9" s="22"/>
      <c r="G9" s="22"/>
      <c r="H9" s="96"/>
      <c r="I9" s="112">
        <v>2</v>
      </c>
      <c r="J9" s="115" t="s">
        <v>108</v>
      </c>
      <c r="K9" s="22"/>
      <c r="L9" s="22"/>
      <c r="M9" s="23"/>
      <c r="N9" s="58" t="s">
        <v>106</v>
      </c>
      <c r="O9" s="46"/>
      <c r="P9" s="46"/>
      <c r="Q9" s="46"/>
      <c r="R9" s="46">
        <v>1.5</v>
      </c>
      <c r="S9" s="61">
        <v>5</v>
      </c>
      <c r="T9" s="61">
        <v>6.5</v>
      </c>
      <c r="U9" s="61">
        <v>5.5</v>
      </c>
      <c r="V9" s="61">
        <v>6.5</v>
      </c>
    </row>
    <row r="10" spans="2:22" ht="15.95" customHeight="1" thickBot="1" x14ac:dyDescent="0.3">
      <c r="B10" s="234" t="s">
        <v>42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58" t="s">
        <v>7</v>
      </c>
      <c r="O10" s="46"/>
      <c r="P10" s="46"/>
      <c r="Q10" s="46"/>
      <c r="R10" s="46">
        <v>2</v>
      </c>
      <c r="S10" s="61">
        <v>6</v>
      </c>
      <c r="T10" s="61">
        <v>8.5</v>
      </c>
      <c r="U10" s="61">
        <v>7</v>
      </c>
      <c r="V10" s="61">
        <v>8.5</v>
      </c>
    </row>
    <row r="11" spans="2:22" ht="15.95" customHeight="1" x14ac:dyDescent="0.3">
      <c r="B11" s="117" t="s">
        <v>151</v>
      </c>
      <c r="C11" s="15">
        <f>(C12+C13)/2</f>
        <v>2</v>
      </c>
      <c r="D11" s="72" t="s">
        <v>125</v>
      </c>
      <c r="E11" s="16"/>
      <c r="F11" s="16"/>
      <c r="G11" s="16"/>
      <c r="H11" s="78"/>
      <c r="I11" s="16"/>
      <c r="J11" s="16"/>
      <c r="K11" s="16"/>
      <c r="L11" s="16"/>
      <c r="M11" s="17"/>
      <c r="N11" s="58" t="s">
        <v>8</v>
      </c>
      <c r="O11" s="46"/>
      <c r="P11" s="46"/>
      <c r="Q11" s="46"/>
      <c r="R11" s="46">
        <v>2.5</v>
      </c>
      <c r="S11" s="61" t="s">
        <v>118</v>
      </c>
      <c r="T11" s="61">
        <v>10</v>
      </c>
      <c r="U11" s="61" t="s">
        <v>118</v>
      </c>
      <c r="V11" s="61">
        <v>10</v>
      </c>
    </row>
    <row r="12" spans="2:22" ht="15.95" customHeight="1" x14ac:dyDescent="0.3">
      <c r="B12" s="122" t="s">
        <v>168</v>
      </c>
      <c r="C12" s="12">
        <v>2</v>
      </c>
      <c r="D12" s="29" t="s">
        <v>121</v>
      </c>
      <c r="E12" s="19"/>
      <c r="F12" s="19"/>
      <c r="G12" s="19"/>
      <c r="H12" s="67"/>
      <c r="I12" s="19"/>
      <c r="J12" s="19"/>
      <c r="K12" s="19"/>
      <c r="L12" s="19"/>
      <c r="M12" s="20"/>
      <c r="N12" s="46"/>
      <c r="O12" s="46"/>
      <c r="P12" s="46"/>
      <c r="Q12" s="46"/>
      <c r="R12" s="46"/>
      <c r="S12" s="62">
        <f>IF(C33&lt;=1,4*C33,IF(C33&lt;=2,4+2*(C33-1),S11))</f>
        <v>2.7498597046143516</v>
      </c>
      <c r="T12" s="62">
        <f>IF(C33&lt;=1,4.5*C33,IF(C33&lt;=2,4.5+4*(C33-1),IF(C33&lt;=2.5,8.5+1.5*(C33-2),T11)))</f>
        <v>3.0935921676911455</v>
      </c>
      <c r="U12" s="62">
        <f>IF(C33&lt;=1,4*C33,IF(C33&lt;=2,4+3*(C33-1),S11))</f>
        <v>2.7498597046143516</v>
      </c>
      <c r="V12" s="62">
        <f>IF(C33&lt;=1,5*C33,IF(C33&lt;=1.5,5+1.5/0.5*(C33-1),IF(C33&lt;=2,6.5+2/0.5*(C33-1.5),IF(C33&lt;=2.5,8.5+1.5/0.5*(C33-2),V11))))</f>
        <v>3.4373246307679395</v>
      </c>
    </row>
    <row r="13" spans="2:22" ht="15.95" customHeight="1" x14ac:dyDescent="0.3">
      <c r="B13" s="122" t="s">
        <v>169</v>
      </c>
      <c r="C13" s="12">
        <v>2</v>
      </c>
      <c r="D13" s="29" t="s">
        <v>122</v>
      </c>
      <c r="E13" s="19"/>
      <c r="F13" s="19"/>
      <c r="G13" s="19"/>
      <c r="H13" s="19"/>
      <c r="I13" s="19"/>
      <c r="J13" s="19"/>
      <c r="K13" s="19"/>
      <c r="L13" s="19"/>
      <c r="M13" s="20"/>
      <c r="N13" s="58" t="s">
        <v>3</v>
      </c>
      <c r="O13" s="46"/>
      <c r="P13" s="46"/>
      <c r="Q13" s="46"/>
      <c r="R13" s="46"/>
      <c r="S13" s="46"/>
      <c r="T13" s="46"/>
      <c r="U13" s="46"/>
      <c r="V13" s="46"/>
    </row>
    <row r="14" spans="2:22" ht="15.95" customHeight="1" x14ac:dyDescent="0.25">
      <c r="B14" s="119" t="s">
        <v>85</v>
      </c>
      <c r="C14" s="8">
        <v>1.8</v>
      </c>
      <c r="D14" s="81" t="s">
        <v>148</v>
      </c>
      <c r="E14" s="82"/>
      <c r="F14" s="82"/>
      <c r="G14" s="82"/>
      <c r="H14" s="82"/>
      <c r="I14" s="82"/>
      <c r="J14" s="82"/>
      <c r="K14" s="82"/>
      <c r="L14" s="82"/>
      <c r="M14" s="83"/>
      <c r="N14" s="58" t="s">
        <v>104</v>
      </c>
      <c r="O14" s="46"/>
      <c r="P14" s="46"/>
      <c r="Q14" s="46"/>
      <c r="R14" s="46"/>
      <c r="S14" s="46"/>
      <c r="T14" s="46"/>
      <c r="U14" s="46"/>
      <c r="V14" s="46"/>
    </row>
    <row r="15" spans="2:22" ht="15.95" customHeight="1" x14ac:dyDescent="0.25">
      <c r="B15" s="120" t="s">
        <v>150</v>
      </c>
      <c r="C15" s="8">
        <v>3.6</v>
      </c>
      <c r="D15" s="84" t="s">
        <v>149</v>
      </c>
      <c r="E15" s="85"/>
      <c r="F15" s="85"/>
      <c r="G15" s="85"/>
      <c r="H15" s="85"/>
      <c r="I15" s="85"/>
      <c r="J15" s="85"/>
      <c r="K15" s="85"/>
      <c r="L15" s="85"/>
      <c r="M15" s="86"/>
      <c r="N15" s="46"/>
      <c r="O15" s="46"/>
      <c r="P15" s="46"/>
      <c r="Q15" s="46"/>
      <c r="R15" s="46"/>
      <c r="S15" s="46"/>
      <c r="T15" s="46"/>
      <c r="U15" s="46"/>
      <c r="V15" s="46"/>
    </row>
    <row r="16" spans="2:22" ht="15.95" customHeight="1" x14ac:dyDescent="0.25">
      <c r="B16" s="121" t="s">
        <v>179</v>
      </c>
      <c r="C16" s="75">
        <v>0.25</v>
      </c>
      <c r="D16" s="74" t="s">
        <v>124</v>
      </c>
      <c r="E16" s="19"/>
      <c r="F16" s="19"/>
      <c r="G16" s="19"/>
      <c r="H16" s="19"/>
      <c r="I16" s="19"/>
      <c r="J16" s="19"/>
      <c r="K16" s="19"/>
      <c r="L16" s="19"/>
      <c r="M16" s="20"/>
      <c r="N16" s="63" t="s">
        <v>87</v>
      </c>
      <c r="O16" s="46"/>
      <c r="P16" s="46"/>
      <c r="Q16" s="46"/>
      <c r="R16" s="46"/>
      <c r="S16" s="46"/>
      <c r="T16" s="46"/>
      <c r="U16" s="46"/>
      <c r="V16" s="46"/>
    </row>
    <row r="17" spans="2:22" ht="15.95" customHeight="1" x14ac:dyDescent="0.25">
      <c r="B17" s="122" t="s">
        <v>1</v>
      </c>
      <c r="C17" s="8">
        <v>1.85</v>
      </c>
      <c r="D17" s="56" t="s">
        <v>126</v>
      </c>
      <c r="E17" s="19"/>
      <c r="F17" s="19"/>
      <c r="G17" s="19"/>
      <c r="H17" s="19"/>
      <c r="I17" s="19"/>
      <c r="J17" s="19"/>
      <c r="K17" s="19"/>
      <c r="L17" s="19"/>
      <c r="M17" s="20"/>
      <c r="N17" s="63" t="s">
        <v>119</v>
      </c>
      <c r="O17" s="46"/>
      <c r="P17" s="46"/>
      <c r="Q17" s="46"/>
      <c r="R17" s="46"/>
      <c r="S17" s="46"/>
      <c r="T17" s="46"/>
      <c r="U17" s="46"/>
      <c r="V17" s="46"/>
    </row>
    <row r="18" spans="2:22" ht="15.95" customHeight="1" x14ac:dyDescent="0.25">
      <c r="B18" s="122" t="s">
        <v>0</v>
      </c>
      <c r="C18" s="8">
        <v>0</v>
      </c>
      <c r="D18" s="56" t="s">
        <v>28</v>
      </c>
      <c r="E18" s="19"/>
      <c r="F18" s="19"/>
      <c r="G18" s="19"/>
      <c r="H18" s="19"/>
      <c r="I18" s="19"/>
      <c r="J18" s="19"/>
      <c r="K18" s="19"/>
      <c r="L18" s="19"/>
      <c r="M18" s="20"/>
      <c r="N18" s="63" t="s">
        <v>115</v>
      </c>
      <c r="O18" s="46"/>
      <c r="P18" s="46"/>
      <c r="Q18" s="46"/>
      <c r="R18" s="46"/>
      <c r="S18" s="46"/>
      <c r="T18" s="46"/>
      <c r="U18" s="46"/>
      <c r="V18" s="46"/>
    </row>
    <row r="19" spans="2:22" ht="15.95" customHeight="1" x14ac:dyDescent="0.3">
      <c r="B19" s="122" t="s">
        <v>170</v>
      </c>
      <c r="C19" s="8">
        <v>1.2</v>
      </c>
      <c r="D19" s="29" t="s">
        <v>59</v>
      </c>
      <c r="E19" s="19"/>
      <c r="F19" s="19"/>
      <c r="G19" s="19"/>
      <c r="H19" s="19"/>
      <c r="I19" s="19"/>
      <c r="J19" s="19"/>
      <c r="K19" s="19"/>
      <c r="L19" s="19"/>
      <c r="M19" s="20"/>
      <c r="N19" s="63" t="s">
        <v>116</v>
      </c>
      <c r="O19" s="46"/>
      <c r="P19" s="46"/>
      <c r="Q19" s="46"/>
      <c r="R19" s="46"/>
      <c r="S19" s="46"/>
      <c r="T19" s="46"/>
      <c r="U19" s="46"/>
      <c r="V19" s="46"/>
    </row>
    <row r="20" spans="2:22" ht="15.95" customHeight="1" x14ac:dyDescent="0.35">
      <c r="B20" s="122" t="s">
        <v>171</v>
      </c>
      <c r="C20" s="12">
        <v>3</v>
      </c>
      <c r="D20" s="68" t="s">
        <v>56</v>
      </c>
      <c r="E20" s="19"/>
      <c r="F20" s="19"/>
      <c r="G20" s="28" t="s">
        <v>93</v>
      </c>
      <c r="H20" s="106">
        <f>C20-C19*(I7-1)</f>
        <v>1.8</v>
      </c>
      <c r="I20" s="29" t="s">
        <v>94</v>
      </c>
      <c r="J20" s="19"/>
      <c r="K20" s="19"/>
      <c r="L20" s="19"/>
      <c r="M20" s="20"/>
      <c r="N20" s="63" t="s">
        <v>117</v>
      </c>
      <c r="O20" s="46"/>
      <c r="P20" s="46"/>
      <c r="Q20" s="46"/>
      <c r="R20" s="46"/>
      <c r="S20" s="46"/>
      <c r="T20" s="46"/>
      <c r="U20" s="46"/>
      <c r="V20" s="46"/>
    </row>
    <row r="21" spans="2:22" ht="15.95" customHeight="1" thickBot="1" x14ac:dyDescent="0.35">
      <c r="B21" s="129" t="s">
        <v>172</v>
      </c>
      <c r="C21" s="107">
        <v>1.5</v>
      </c>
      <c r="D21" s="108" t="s">
        <v>147</v>
      </c>
      <c r="E21" s="109"/>
      <c r="F21" s="109"/>
      <c r="G21" s="109"/>
      <c r="H21" s="109"/>
      <c r="I21" s="109"/>
      <c r="J21" s="109"/>
      <c r="K21" s="109"/>
      <c r="L21" s="109"/>
      <c r="M21" s="110"/>
      <c r="N21" s="63" t="s">
        <v>109</v>
      </c>
      <c r="O21" s="46"/>
      <c r="P21" s="46"/>
      <c r="Q21" s="46"/>
      <c r="R21" s="46"/>
      <c r="S21" s="46"/>
      <c r="T21" s="46"/>
      <c r="U21" s="46"/>
      <c r="V21" s="46"/>
    </row>
    <row r="22" spans="2:22" ht="15.95" customHeight="1" thickBot="1" x14ac:dyDescent="0.3">
      <c r="B22" s="234" t="s">
        <v>120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63" t="s">
        <v>110</v>
      </c>
      <c r="O22" s="46"/>
      <c r="P22" s="46"/>
      <c r="Q22" s="46"/>
      <c r="R22" s="46"/>
      <c r="S22" s="46"/>
      <c r="T22" s="46"/>
      <c r="U22" s="46"/>
      <c r="V22" s="46"/>
    </row>
    <row r="23" spans="2:22" ht="15.95" customHeight="1" x14ac:dyDescent="0.3">
      <c r="B23" s="122" t="s">
        <v>173</v>
      </c>
      <c r="C23" s="70">
        <v>19</v>
      </c>
      <c r="D23" s="56" t="s">
        <v>86</v>
      </c>
      <c r="E23" s="19"/>
      <c r="F23" s="19"/>
      <c r="G23" s="19"/>
      <c r="H23" s="19"/>
      <c r="I23" s="19"/>
      <c r="J23" s="19"/>
      <c r="K23" s="19"/>
      <c r="L23" s="19"/>
      <c r="M23" s="20"/>
      <c r="N23" s="64" t="s">
        <v>111</v>
      </c>
      <c r="O23" s="46"/>
      <c r="P23" s="46"/>
      <c r="Q23" s="46"/>
      <c r="R23" s="46"/>
      <c r="S23" s="46"/>
      <c r="T23" s="46"/>
      <c r="U23" s="46"/>
      <c r="V23" s="46"/>
    </row>
    <row r="24" spans="2:22" ht="15.95" customHeight="1" thickBot="1" x14ac:dyDescent="0.35">
      <c r="B24" s="127" t="s">
        <v>174</v>
      </c>
      <c r="C24" s="69">
        <v>0.26</v>
      </c>
      <c r="D24" s="53" t="s">
        <v>123</v>
      </c>
      <c r="E24" s="22"/>
      <c r="F24" s="22"/>
      <c r="G24" s="22"/>
      <c r="H24" s="22"/>
      <c r="I24" s="22"/>
      <c r="J24" s="22"/>
      <c r="K24" s="22"/>
      <c r="L24" s="22"/>
      <c r="M24" s="23"/>
      <c r="N24" s="64" t="s">
        <v>112</v>
      </c>
      <c r="O24" s="46"/>
      <c r="P24" s="46"/>
      <c r="Q24" s="46"/>
      <c r="R24" s="46"/>
      <c r="S24" s="46"/>
      <c r="T24" s="46"/>
      <c r="U24" s="46"/>
      <c r="V24" s="46"/>
    </row>
    <row r="25" spans="2:22" ht="15.95" customHeight="1" thickBot="1" x14ac:dyDescent="0.3">
      <c r="B25" s="56" t="s">
        <v>131</v>
      </c>
      <c r="L25" s="19"/>
    </row>
    <row r="26" spans="2:22" ht="15.95" customHeight="1" thickBot="1" x14ac:dyDescent="0.3">
      <c r="B26" s="241" t="s">
        <v>142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</row>
    <row r="27" spans="2:22" ht="15.95" customHeight="1" thickBot="1" x14ac:dyDescent="0.35">
      <c r="B27" s="97" t="s">
        <v>37</v>
      </c>
      <c r="C27" s="98">
        <f>IF(C15&gt;=C14,C32*C55*C34+H20*COS(C18/180*PI()),"(!) b&gt;l")</f>
        <v>13.519972457474806</v>
      </c>
      <c r="D27" s="52" t="s">
        <v>128</v>
      </c>
      <c r="E27" s="44"/>
      <c r="F27" s="44"/>
      <c r="G27" s="44"/>
      <c r="H27" s="44"/>
      <c r="I27" s="44"/>
      <c r="J27" s="44"/>
      <c r="K27" s="44"/>
      <c r="L27" s="22"/>
      <c r="M27" s="23"/>
    </row>
    <row r="28" spans="2:22" ht="15.95" customHeight="1" x14ac:dyDescent="0.35">
      <c r="B28" s="101" t="s">
        <v>32</v>
      </c>
      <c r="C28" s="77">
        <f>IF(C17&gt;=5,1.2,IF(C17&lt;=1.5,0.8,IF(C17&lt;2.5,0.8+(C17-1.5)*0.2,1+(C17-2.5)/2.5*0.2)))</f>
        <v>0.87000000000000011</v>
      </c>
      <c r="D28" s="51" t="s">
        <v>100</v>
      </c>
      <c r="E28" s="19"/>
      <c r="F28" s="19"/>
      <c r="G28" s="19"/>
      <c r="H28" s="19"/>
      <c r="I28" s="19"/>
      <c r="J28" s="19"/>
      <c r="K28" s="19"/>
      <c r="L28" s="19"/>
      <c r="M28" s="20"/>
    </row>
    <row r="29" spans="2:22" ht="15.95" customHeight="1" x14ac:dyDescent="0.35">
      <c r="B29" s="18" t="s">
        <v>33</v>
      </c>
      <c r="C29" s="42">
        <f>IF(I4=1,1,1.2)</f>
        <v>1.2</v>
      </c>
      <c r="D29" s="51" t="s">
        <v>101</v>
      </c>
      <c r="E29" s="19"/>
      <c r="F29" s="19"/>
      <c r="G29" s="19"/>
      <c r="H29" s="19"/>
      <c r="I29" s="19"/>
      <c r="J29" s="19"/>
      <c r="K29" s="19"/>
      <c r="L29" s="19"/>
      <c r="M29" s="20"/>
    </row>
    <row r="30" spans="2:22" ht="15.95" customHeight="1" x14ac:dyDescent="0.35">
      <c r="B30" s="18" t="s">
        <v>34</v>
      </c>
      <c r="C30" s="42">
        <f>IF(I5=1,1,IF(I5=7,0.7,0.8))</f>
        <v>0.8</v>
      </c>
      <c r="D30" s="51" t="s">
        <v>102</v>
      </c>
      <c r="E30" s="19"/>
      <c r="F30" s="19"/>
      <c r="G30" s="19"/>
      <c r="H30" s="19"/>
      <c r="I30" s="19"/>
      <c r="J30" s="19"/>
      <c r="K30" s="19"/>
      <c r="L30" s="19"/>
      <c r="M30" s="20"/>
    </row>
    <row r="31" spans="2:22" ht="15.95" customHeight="1" x14ac:dyDescent="0.35">
      <c r="B31" s="18" t="s">
        <v>35</v>
      </c>
      <c r="C31" s="42">
        <f>IF(I6=1,1,1.15)</f>
        <v>1</v>
      </c>
      <c r="D31" s="51" t="s">
        <v>103</v>
      </c>
      <c r="E31" s="19"/>
      <c r="F31" s="19"/>
      <c r="G31" s="19"/>
      <c r="H31" s="19"/>
      <c r="I31" s="19"/>
      <c r="J31" s="19"/>
      <c r="K31" s="19"/>
      <c r="L31" s="19"/>
      <c r="M31" s="20"/>
    </row>
    <row r="32" spans="2:22" ht="15.95" customHeight="1" x14ac:dyDescent="0.35">
      <c r="B32" s="21" t="s">
        <v>36</v>
      </c>
      <c r="C32" s="42">
        <f>C28*C29*C30*C31</f>
        <v>0.83520000000000005</v>
      </c>
      <c r="D32" s="51" t="s">
        <v>99</v>
      </c>
      <c r="E32" s="19"/>
      <c r="F32" s="19"/>
      <c r="G32" s="19"/>
      <c r="H32" s="19"/>
      <c r="I32" s="19"/>
      <c r="J32" s="19"/>
      <c r="K32" s="19"/>
      <c r="L32" s="19"/>
      <c r="M32" s="20"/>
    </row>
    <row r="33" spans="2:20" ht="15.95" customHeight="1" x14ac:dyDescent="0.25">
      <c r="B33" s="39" t="s">
        <v>30</v>
      </c>
      <c r="C33" s="87">
        <f>(C11-C16)/SQRT(C14*C15)</f>
        <v>0.6874649261535879</v>
      </c>
      <c r="D33" s="51" t="s">
        <v>129</v>
      </c>
      <c r="E33" s="19"/>
      <c r="F33" s="19"/>
      <c r="G33" s="19"/>
      <c r="H33" s="19"/>
      <c r="I33" s="19"/>
      <c r="J33" s="19"/>
      <c r="K33" s="19"/>
      <c r="L33" s="19"/>
      <c r="M33" s="20"/>
    </row>
    <row r="34" spans="2:20" ht="15.95" customHeight="1" thickBot="1" x14ac:dyDescent="0.35">
      <c r="B34" s="123" t="s">
        <v>152</v>
      </c>
      <c r="C34" s="88">
        <f>C14*C15*COS(C18/180*PI())</f>
        <v>6.48</v>
      </c>
      <c r="D34" s="53" t="s">
        <v>98</v>
      </c>
      <c r="E34" s="22"/>
      <c r="F34" s="22"/>
      <c r="G34" s="22"/>
      <c r="H34" s="22"/>
      <c r="I34" s="22"/>
      <c r="J34" s="22"/>
      <c r="K34" s="22"/>
      <c r="L34" s="22"/>
      <c r="M34" s="23"/>
    </row>
    <row r="35" spans="2:20" ht="15.95" customHeight="1" thickBot="1" x14ac:dyDescent="0.3">
      <c r="B35" s="241" t="s">
        <v>143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3"/>
    </row>
    <row r="36" spans="2:20" ht="15.95" customHeight="1" thickBot="1" x14ac:dyDescent="0.35">
      <c r="B36" s="57" t="s">
        <v>92</v>
      </c>
      <c r="C36" s="79">
        <f>IF(C15&gt;=C14,C37/C48+0.9*H20*COS(C18*PI()/180),"(!)b&gt;l")</f>
        <v>22.285655599870079</v>
      </c>
      <c r="D36" s="105" t="s">
        <v>144</v>
      </c>
      <c r="E36" s="99"/>
      <c r="F36" s="99"/>
      <c r="G36" s="99"/>
      <c r="H36" s="99"/>
      <c r="I36" s="99"/>
      <c r="J36" s="99"/>
      <c r="K36" s="99"/>
      <c r="L36" s="99"/>
      <c r="M36" s="100"/>
    </row>
    <row r="37" spans="2:20" ht="15.95" customHeight="1" x14ac:dyDescent="0.3">
      <c r="B37" s="125" t="s">
        <v>161</v>
      </c>
      <c r="C37" s="104">
        <f>C51*(C38-C19)*COS(C18*PI()/180)+C54*(C45*COS(C53*PI()/180-C18*PI()/360)+C46*COS(C53*PI()/180+C18*PI()/360)+C47)</f>
        <v>26.865352279831104</v>
      </c>
      <c r="D37" s="56" t="s">
        <v>133</v>
      </c>
      <c r="E37" s="19"/>
      <c r="F37" s="19"/>
      <c r="G37" s="19"/>
      <c r="H37" s="19"/>
      <c r="I37" s="19"/>
      <c r="J37" s="19"/>
      <c r="K37" s="19"/>
      <c r="L37" s="19"/>
      <c r="M37" s="20"/>
    </row>
    <row r="38" spans="2:20" ht="15.95" customHeight="1" x14ac:dyDescent="0.3">
      <c r="B38" s="125" t="s">
        <v>162</v>
      </c>
      <c r="C38" s="7">
        <f>(C41*C44*(C39+C40+C42)-C43*C14*(C42+2*C15))/6</f>
        <v>16.959281098221052</v>
      </c>
      <c r="D38" s="56" t="s">
        <v>139</v>
      </c>
      <c r="E38" s="19"/>
      <c r="F38" s="19"/>
      <c r="G38" s="19"/>
      <c r="H38" s="19"/>
      <c r="I38" s="19"/>
      <c r="J38" s="19"/>
      <c r="K38" s="19"/>
      <c r="L38" s="19"/>
      <c r="M38" s="20"/>
      <c r="N38" s="47"/>
      <c r="O38" s="48"/>
    </row>
    <row r="39" spans="2:20" ht="15.95" customHeight="1" x14ac:dyDescent="0.3">
      <c r="B39" s="122" t="s">
        <v>153</v>
      </c>
      <c r="C39" s="7">
        <f>C15+2*C12*TAN(C53*PI()/180)*COS(C53*PI()/180-C18*PI()/360)/COS(C53*PI()/180+C18*PI()/360)</f>
        <v>4.283014013008156</v>
      </c>
      <c r="D39" s="56" t="s">
        <v>134</v>
      </c>
      <c r="E39" s="19"/>
      <c r="F39" s="19"/>
      <c r="G39" s="19"/>
      <c r="H39" s="19"/>
      <c r="I39" s="19"/>
      <c r="J39" s="19"/>
      <c r="K39" s="19"/>
      <c r="L39" s="19"/>
      <c r="M39" s="102"/>
      <c r="N39" s="47"/>
      <c r="O39" s="48"/>
    </row>
    <row r="40" spans="2:20" ht="15.95" customHeight="1" x14ac:dyDescent="0.3">
      <c r="B40" s="122" t="s">
        <v>154</v>
      </c>
      <c r="C40" s="7">
        <f>C15+2*C13*TAN(C53*PI()/180)*COS(C53*PI()/180-C18*PI()/360)/COS(C53*PI()/180+C18*PI()/360)</f>
        <v>4.283014013008156</v>
      </c>
      <c r="D40" s="56" t="s">
        <v>134</v>
      </c>
      <c r="E40" s="19"/>
      <c r="F40" s="19"/>
      <c r="G40" s="19"/>
      <c r="H40" s="19"/>
      <c r="I40" s="19"/>
      <c r="J40" s="19"/>
      <c r="K40" s="19"/>
      <c r="L40" s="19"/>
      <c r="M40" s="102"/>
      <c r="N40" s="47"/>
      <c r="O40" s="48"/>
    </row>
    <row r="41" spans="2:20" ht="15.95" customHeight="1" x14ac:dyDescent="0.25">
      <c r="B41" s="122" t="s">
        <v>89</v>
      </c>
      <c r="C41" s="7">
        <f>C14*COS(C18*PI()/180)+C12*TAN(C53*PI()/180+C18*PI()/360)+C13*TAN(C53*PI()/180-C18*PI()/360)</f>
        <v>2.4830140130081557</v>
      </c>
      <c r="D41" s="56" t="s">
        <v>134</v>
      </c>
      <c r="E41" s="19"/>
      <c r="F41" s="19"/>
      <c r="G41" s="19"/>
      <c r="H41" s="19"/>
      <c r="I41" s="19"/>
      <c r="J41" s="19"/>
      <c r="K41" s="19"/>
      <c r="L41" s="19"/>
      <c r="M41" s="102"/>
      <c r="N41" s="47"/>
      <c r="O41" s="48"/>
    </row>
    <row r="42" spans="2:20" ht="15.95" customHeight="1" x14ac:dyDescent="0.3">
      <c r="B42" s="122" t="s">
        <v>155</v>
      </c>
      <c r="C42" s="7">
        <f>C15-C14*COS(C53*PI()/180-C18*PI()/360)*COS(C53*PI()/180+C18*PI()/360)/(COS(C53*PI()/180))^2</f>
        <v>1.8</v>
      </c>
      <c r="D42" s="56" t="s">
        <v>134</v>
      </c>
      <c r="E42" s="19"/>
      <c r="F42" s="19"/>
      <c r="G42" s="19"/>
      <c r="H42" s="19"/>
      <c r="I42" s="19"/>
      <c r="J42" s="19"/>
      <c r="K42" s="19"/>
      <c r="L42" s="19"/>
      <c r="M42" s="102"/>
      <c r="N42" s="47"/>
    </row>
    <row r="43" spans="2:20" ht="15.95" customHeight="1" x14ac:dyDescent="0.3">
      <c r="B43" s="122" t="s">
        <v>156</v>
      </c>
      <c r="C43" s="7">
        <f>C14*COS(C53*PI()/180+C18*PI()/360)*COS(C53*PI()/180-C18*PI()/360)/SIN(C53*PI()/90)</f>
        <v>5.2707556967165958</v>
      </c>
      <c r="D43" s="56" t="s">
        <v>135</v>
      </c>
      <c r="E43" s="19"/>
      <c r="F43" s="19"/>
      <c r="G43" s="19"/>
      <c r="H43" s="19"/>
      <c r="I43" s="19"/>
      <c r="J43" s="19"/>
      <c r="K43" s="19"/>
      <c r="L43" s="19"/>
      <c r="M43" s="20"/>
    </row>
    <row r="44" spans="2:20" ht="15.95" customHeight="1" x14ac:dyDescent="0.3">
      <c r="B44" s="122" t="s">
        <v>157</v>
      </c>
      <c r="C44" s="7">
        <f>C41*COS(C53*PI()/180+C18*PI()/360)*COS(C53*PI()/180-C18*PI()/360)/SIN(C53*PI()/90)</f>
        <v>7.2707556967165967</v>
      </c>
      <c r="D44" s="56" t="s">
        <v>136</v>
      </c>
      <c r="E44" s="19"/>
      <c r="F44" s="19"/>
      <c r="G44" s="19"/>
      <c r="H44" s="19"/>
      <c r="I44" s="19"/>
      <c r="J44" s="19"/>
      <c r="K44" s="19"/>
      <c r="L44" s="19"/>
      <c r="M44" s="20"/>
    </row>
    <row r="45" spans="2:20" ht="15.95" customHeight="1" x14ac:dyDescent="0.3">
      <c r="B45" s="122" t="s">
        <v>158</v>
      </c>
      <c r="C45" s="7">
        <f>(C15+C39)*C12/(2*COS(C53*PI()/180+C18*PI()/360))</f>
        <v>7.9971098912662839</v>
      </c>
      <c r="D45" s="56" t="s">
        <v>140</v>
      </c>
      <c r="E45" s="19"/>
      <c r="F45" s="19"/>
      <c r="G45" s="19"/>
      <c r="H45" s="19"/>
      <c r="I45" s="19"/>
      <c r="J45" s="19"/>
      <c r="K45" s="19"/>
      <c r="L45" s="19"/>
      <c r="M45" s="20"/>
    </row>
    <row r="46" spans="2:20" ht="15.95" customHeight="1" x14ac:dyDescent="0.3">
      <c r="B46" s="122" t="s">
        <v>159</v>
      </c>
      <c r="C46" s="7">
        <f>(C15+C40)*C12/(2*COS(C53*PI()/180-C18*PI()/360))</f>
        <v>7.9971098912662839</v>
      </c>
      <c r="D46" s="56" t="s">
        <v>137</v>
      </c>
      <c r="E46" s="19"/>
      <c r="F46" s="19"/>
      <c r="G46" s="19"/>
      <c r="H46" s="19"/>
      <c r="I46" s="19"/>
      <c r="J46" s="19"/>
      <c r="K46" s="19"/>
      <c r="L46" s="36"/>
      <c r="M46" s="20"/>
    </row>
    <row r="47" spans="2:20" ht="15.95" customHeight="1" x14ac:dyDescent="0.25">
      <c r="B47" s="124" t="s">
        <v>160</v>
      </c>
      <c r="C47" s="7">
        <f>C41*C44-C14*C43</f>
        <v>8.5660280260163137</v>
      </c>
      <c r="D47" s="56" t="s">
        <v>138</v>
      </c>
      <c r="E47" s="19"/>
      <c r="F47" s="19"/>
      <c r="G47" s="19"/>
      <c r="H47" s="19"/>
      <c r="I47" s="19"/>
      <c r="J47" s="19"/>
      <c r="K47" s="19"/>
      <c r="L47" s="36"/>
      <c r="M47" s="20"/>
    </row>
    <row r="48" spans="2:20" ht="15.95" customHeight="1" thickBot="1" x14ac:dyDescent="0.35">
      <c r="B48" s="126" t="s">
        <v>163</v>
      </c>
      <c r="C48" s="103">
        <f>IF(I5=1,1,IF(I5=3,1.2,IF(OR(I5=2,I5=4,I5=5,I5=6),1.3,1.7)))</f>
        <v>1.3</v>
      </c>
      <c r="D48" s="53" t="s">
        <v>127</v>
      </c>
      <c r="E48" s="22"/>
      <c r="F48" s="22"/>
      <c r="G48" s="22"/>
      <c r="H48" s="22"/>
      <c r="I48" s="22"/>
      <c r="J48" s="22"/>
      <c r="K48" s="22"/>
      <c r="L48" s="22"/>
      <c r="M48" s="23"/>
      <c r="Q48" s="240"/>
      <c r="R48" s="240"/>
      <c r="S48" s="240"/>
      <c r="T48" s="19"/>
    </row>
    <row r="49" spans="2:22" ht="15.95" customHeight="1" thickBot="1" x14ac:dyDescent="0.3">
      <c r="B49" s="234" t="s">
        <v>132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6"/>
      <c r="Q49" s="19"/>
      <c r="R49" s="19"/>
      <c r="S49" s="19"/>
      <c r="T49" s="19"/>
    </row>
    <row r="50" spans="2:22" ht="15.95" customHeight="1" x14ac:dyDescent="0.3">
      <c r="B50" s="134" t="s">
        <v>164</v>
      </c>
      <c r="C50" s="135">
        <f>IF(I7=1,IF(I9=2,1.7,1.55),IF(I9=2,IF(OR(I8=1,I8=5),1.1,0.9),IF(OR(I8=1,I8=5),1,0.8)))</f>
        <v>0.9</v>
      </c>
      <c r="D50" s="50" t="s">
        <v>145</v>
      </c>
      <c r="E50" s="16"/>
      <c r="F50" s="16"/>
      <c r="G50" s="16"/>
      <c r="H50" s="16"/>
      <c r="I50" s="16"/>
      <c r="J50" s="54"/>
      <c r="K50" s="54"/>
      <c r="L50" s="16"/>
      <c r="M50" s="17"/>
      <c r="Q50" s="19"/>
      <c r="R50" s="19"/>
      <c r="S50" s="19"/>
      <c r="T50" s="19"/>
    </row>
    <row r="51" spans="2:22" ht="15.95" customHeight="1" x14ac:dyDescent="0.3">
      <c r="B51" s="125" t="s">
        <v>165</v>
      </c>
      <c r="C51" s="38">
        <f>IF(C21&gt;=C11,IF(I9=1,1.55,1.7),(IF(I9=1,1.55,1.7)*C21+C50*(C11-C21))/C11)</f>
        <v>1.5</v>
      </c>
      <c r="D51" s="51" t="s">
        <v>146</v>
      </c>
      <c r="E51" s="19"/>
      <c r="F51" s="19"/>
      <c r="G51" s="19"/>
      <c r="H51" s="19"/>
      <c r="I51" s="19"/>
      <c r="J51" s="36"/>
      <c r="K51" s="36"/>
      <c r="L51" s="19"/>
      <c r="M51" s="20"/>
      <c r="Q51" s="19"/>
      <c r="R51" s="19"/>
      <c r="S51" s="19"/>
      <c r="T51" s="19"/>
    </row>
    <row r="52" spans="2:22" ht="15.95" customHeight="1" x14ac:dyDescent="0.25">
      <c r="B52" s="122" t="s">
        <v>88</v>
      </c>
      <c r="C52" s="6">
        <f>IF(I9=2,IF(I8=1,0.8,IF(I8=2,0.6,0.51)),IF(I8=1,0.5,IF(I8=2,0.4,0.34)))</f>
        <v>0.51</v>
      </c>
      <c r="D52" s="51" t="s">
        <v>130</v>
      </c>
      <c r="E52" s="80"/>
      <c r="F52" s="80"/>
      <c r="G52" s="19"/>
      <c r="H52" s="19"/>
      <c r="I52" s="19"/>
      <c r="J52" s="19"/>
      <c r="K52" s="19"/>
      <c r="L52" s="19"/>
      <c r="M52" s="20"/>
      <c r="Q52" s="19"/>
      <c r="R52" s="19"/>
      <c r="S52" s="19"/>
      <c r="T52" s="19"/>
    </row>
    <row r="53" spans="2:22" ht="15.95" customHeight="1" x14ac:dyDescent="0.3">
      <c r="B53" s="122" t="s">
        <v>166</v>
      </c>
      <c r="C53" s="6">
        <f>C23*C52</f>
        <v>9.69</v>
      </c>
      <c r="D53" s="51" t="s">
        <v>184</v>
      </c>
      <c r="E53" s="19"/>
      <c r="F53" s="19"/>
      <c r="G53" s="19"/>
      <c r="H53" s="19"/>
      <c r="I53" s="19"/>
      <c r="J53" s="19"/>
      <c r="K53" s="19"/>
      <c r="L53" s="19"/>
      <c r="M53" s="20"/>
      <c r="Q53" s="19"/>
      <c r="R53" s="19"/>
      <c r="S53" s="19"/>
      <c r="T53" s="19"/>
    </row>
    <row r="54" spans="2:22" ht="15.95" customHeight="1" x14ac:dyDescent="0.3">
      <c r="B54" s="122" t="s">
        <v>167</v>
      </c>
      <c r="C54" s="133">
        <f>C24*C52</f>
        <v>0.1326</v>
      </c>
      <c r="D54" s="51" t="s">
        <v>185</v>
      </c>
      <c r="E54" s="19"/>
      <c r="F54" s="19"/>
      <c r="G54" s="19"/>
      <c r="H54" s="19"/>
      <c r="I54" s="19"/>
      <c r="J54" s="19"/>
      <c r="K54" s="19"/>
      <c r="L54" s="19"/>
      <c r="M54" s="20"/>
      <c r="O54" s="19"/>
      <c r="P54" s="19"/>
      <c r="Q54" s="19"/>
      <c r="R54" s="19"/>
      <c r="S54" s="19"/>
      <c r="T54" s="19"/>
      <c r="U54" s="19"/>
      <c r="V54" s="19"/>
    </row>
    <row r="55" spans="2:22" ht="15.95" customHeight="1" thickBot="1" x14ac:dyDescent="0.3">
      <c r="B55" s="127" t="s">
        <v>29</v>
      </c>
      <c r="C55" s="88">
        <f>IF(AND(I9=1,OR(I8=1,I8=5)),U12,IF(AND(OR(I8=2,I8=3,I8=4),I9=1),S12,IF(AND(I9=2,OR(I8=1,I8=5)),V12,T12)))*IF(OR(I8=5,I8=3),0.85,IF(I8=4,0.7,1))</f>
        <v>2.1655145173838015</v>
      </c>
      <c r="D55" s="53" t="s">
        <v>175</v>
      </c>
      <c r="E55" s="22"/>
      <c r="F55" s="22"/>
      <c r="G55" s="22"/>
      <c r="H55" s="22"/>
      <c r="I55" s="22"/>
      <c r="J55" s="22"/>
      <c r="K55" s="22"/>
      <c r="L55" s="22"/>
      <c r="M55" s="23"/>
      <c r="O55" s="19"/>
      <c r="P55" s="19"/>
      <c r="Q55" s="19"/>
      <c r="R55" s="19"/>
      <c r="S55" s="19"/>
      <c r="T55" s="19"/>
      <c r="U55" s="19"/>
      <c r="V55" s="19"/>
    </row>
    <row r="56" spans="2:22" x14ac:dyDescent="0.25">
      <c r="B56" s="2"/>
      <c r="C56" s="1"/>
      <c r="D56" s="35"/>
      <c r="O56" s="19"/>
      <c r="P56" s="19"/>
      <c r="Q56" s="28"/>
      <c r="R56" s="37"/>
      <c r="S56" s="19"/>
      <c r="T56" s="19"/>
      <c r="U56" s="19"/>
      <c r="V56" s="19"/>
    </row>
    <row r="57" spans="2:22" x14ac:dyDescent="0.25">
      <c r="B57" s="2"/>
      <c r="C57" s="1"/>
      <c r="D57" s="35"/>
      <c r="O57" s="19"/>
      <c r="P57" s="19"/>
      <c r="Q57" s="19"/>
      <c r="R57" s="19"/>
      <c r="S57" s="19"/>
      <c r="T57" s="19"/>
      <c r="U57" s="19"/>
      <c r="V57" s="19"/>
    </row>
    <row r="58" spans="2:22" x14ac:dyDescent="0.25">
      <c r="B58" s="2"/>
      <c r="C58" s="1"/>
      <c r="D58" s="35"/>
      <c r="O58" s="19"/>
      <c r="P58" s="19"/>
      <c r="Q58" s="19"/>
      <c r="R58" s="19"/>
      <c r="S58" s="19"/>
      <c r="T58" s="19"/>
      <c r="U58" s="19"/>
      <c r="V58" s="19"/>
    </row>
    <row r="59" spans="2:22" x14ac:dyDescent="0.25">
      <c r="B59" s="2"/>
      <c r="C59" s="1"/>
      <c r="D59" s="35"/>
      <c r="O59" s="19"/>
      <c r="P59" s="19"/>
      <c r="Q59" s="19"/>
      <c r="R59" s="19"/>
      <c r="S59" s="19"/>
      <c r="T59" s="28"/>
      <c r="U59" s="43"/>
      <c r="V59" s="19"/>
    </row>
    <row r="60" spans="2:22" x14ac:dyDescent="0.25">
      <c r="B60" s="2"/>
      <c r="C60" s="1"/>
      <c r="D60" s="35"/>
      <c r="O60" s="19"/>
      <c r="P60" s="19"/>
      <c r="Q60" s="28"/>
      <c r="R60" s="19"/>
      <c r="S60" s="19"/>
      <c r="T60" s="19"/>
      <c r="U60" s="19"/>
      <c r="V60" s="19"/>
    </row>
    <row r="61" spans="2:22" x14ac:dyDescent="0.25">
      <c r="B61" s="2"/>
      <c r="C61" s="1"/>
      <c r="D61" s="35"/>
    </row>
    <row r="62" spans="2:22" x14ac:dyDescent="0.25">
      <c r="B62" s="2"/>
      <c r="C62" s="1"/>
      <c r="D62" s="35"/>
    </row>
    <row r="63" spans="2:22" x14ac:dyDescent="0.25">
      <c r="B63" s="2"/>
      <c r="C63" s="1"/>
      <c r="D63" s="35"/>
    </row>
    <row r="64" spans="2:22" x14ac:dyDescent="0.25">
      <c r="B64" s="2"/>
      <c r="C64" s="1"/>
      <c r="D64" s="35"/>
    </row>
    <row r="65" spans="3:3" x14ac:dyDescent="0.25">
      <c r="C65" s="1"/>
    </row>
  </sheetData>
  <mergeCells count="7">
    <mergeCell ref="B49:M49"/>
    <mergeCell ref="B3:M3"/>
    <mergeCell ref="B22:M22"/>
    <mergeCell ref="B10:M10"/>
    <mergeCell ref="Q48:S48"/>
    <mergeCell ref="B26:M26"/>
    <mergeCell ref="B35:M35"/>
  </mergeCells>
  <conditionalFormatting sqref="C21">
    <cfRule type="expression" dxfId="17" priority="2" stopIfTrue="1">
      <formula>$I$7=1</formula>
    </cfRule>
  </conditionalFormatting>
  <conditionalFormatting sqref="B21">
    <cfRule type="expression" dxfId="16" priority="1" stopIfTrue="1">
      <formula>$I$7=1</formula>
    </cfRule>
  </conditionalFormatting>
  <printOptions horizontalCentered="1" verticalCentered="1"/>
  <pageMargins left="0.25" right="0.25" top="0.75" bottom="0.75" header="0.3" footer="0.3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0</xdr:col>
                    <xdr:colOff>104775</xdr:colOff>
                    <xdr:row>3</xdr:row>
                    <xdr:rowOff>0</xdr:rowOff>
                  </from>
                  <to>
                    <xdr:col>8</xdr:col>
                    <xdr:colOff>466725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8</xdr:col>
                    <xdr:colOff>466725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200025</xdr:rowOff>
                  </from>
                  <to>
                    <xdr:col>8</xdr:col>
                    <xdr:colOff>466725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Drop Down 4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8</xdr:col>
                    <xdr:colOff>466725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8" name="Drop Down 5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8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8</xdr:col>
                    <xdr:colOff>466725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2"/>
  <sheetViews>
    <sheetView topLeftCell="A16" zoomScaleNormal="100" workbookViewId="0">
      <selection activeCell="E36" sqref="E36"/>
    </sheetView>
  </sheetViews>
  <sheetFormatPr defaultRowHeight="15" x14ac:dyDescent="0.25"/>
  <cols>
    <col min="1" max="1" width="2.5703125" customWidth="1"/>
  </cols>
  <sheetData>
    <row r="1" spans="1:20" x14ac:dyDescent="0.25">
      <c r="A1" s="200"/>
      <c r="B1" s="130" t="s">
        <v>235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5.75" thickBot="1" x14ac:dyDescent="0.3">
      <c r="A2" s="200"/>
      <c r="B2" s="130" t="s">
        <v>228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15.75" thickBot="1" x14ac:dyDescent="0.3">
      <c r="A3" s="200"/>
      <c r="B3" s="247" t="s">
        <v>141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00"/>
      <c r="O3" s="200"/>
      <c r="P3" s="200"/>
      <c r="Q3" s="200"/>
      <c r="R3" s="200"/>
      <c r="S3" s="200"/>
      <c r="T3" s="200"/>
    </row>
    <row r="4" spans="1:20" ht="15" customHeight="1" x14ac:dyDescent="0.25">
      <c r="A4" s="200"/>
      <c r="B4" s="211"/>
      <c r="C4" s="51"/>
      <c r="D4" s="51"/>
      <c r="E4" s="51"/>
      <c r="F4" s="51"/>
      <c r="G4" s="51"/>
      <c r="H4" s="51"/>
      <c r="I4" s="212">
        <v>7</v>
      </c>
      <c r="J4" s="114" t="s">
        <v>239</v>
      </c>
      <c r="K4" s="51"/>
      <c r="L4" s="51"/>
      <c r="M4" s="213"/>
      <c r="N4" s="208" t="s">
        <v>231</v>
      </c>
      <c r="O4" s="200"/>
      <c r="P4" s="200"/>
      <c r="Q4" s="200"/>
      <c r="R4" s="200"/>
      <c r="S4" s="200"/>
      <c r="T4" s="200"/>
    </row>
    <row r="5" spans="1:20" ht="15" customHeight="1" x14ac:dyDescent="0.25">
      <c r="A5" s="200"/>
      <c r="B5" s="211"/>
      <c r="C5" s="51"/>
      <c r="D5" s="51"/>
      <c r="E5" s="51"/>
      <c r="F5" s="51"/>
      <c r="G5" s="51"/>
      <c r="H5" s="51"/>
      <c r="I5" s="212">
        <v>2</v>
      </c>
      <c r="J5" s="114" t="s">
        <v>269</v>
      </c>
      <c r="K5" s="51"/>
      <c r="L5" s="51"/>
      <c r="M5" s="213"/>
      <c r="N5" s="208" t="s">
        <v>232</v>
      </c>
      <c r="O5" s="200"/>
      <c r="P5" s="200"/>
      <c r="Q5" s="200"/>
      <c r="T5" s="200"/>
    </row>
    <row r="6" spans="1:20" ht="15" customHeight="1" x14ac:dyDescent="0.25">
      <c r="A6" s="200"/>
      <c r="B6" s="211"/>
      <c r="C6" s="51"/>
      <c r="D6" s="51"/>
      <c r="E6" s="51"/>
      <c r="F6" s="51"/>
      <c r="G6" s="51"/>
      <c r="H6" s="51"/>
      <c r="I6" s="212">
        <v>1</v>
      </c>
      <c r="J6" s="114" t="s">
        <v>242</v>
      </c>
      <c r="K6" s="51"/>
      <c r="L6" s="51"/>
      <c r="M6" s="213"/>
      <c r="N6" s="208" t="s">
        <v>234</v>
      </c>
      <c r="O6" s="201"/>
      <c r="P6" s="200"/>
      <c r="Q6" s="200"/>
    </row>
    <row r="7" spans="1:20" ht="15" customHeight="1" x14ac:dyDescent="0.25">
      <c r="A7" s="200"/>
      <c r="B7" s="214"/>
      <c r="C7" s="19"/>
      <c r="D7" s="19"/>
      <c r="E7" s="19"/>
      <c r="F7" s="51"/>
      <c r="G7" s="51"/>
      <c r="H7" s="51"/>
      <c r="I7" s="212">
        <v>1</v>
      </c>
      <c r="J7" s="114" t="s">
        <v>270</v>
      </c>
      <c r="K7" s="51"/>
      <c r="L7" s="51"/>
      <c r="M7" s="213"/>
      <c r="N7" s="208" t="s">
        <v>236</v>
      </c>
      <c r="P7" s="200"/>
      <c r="Q7" s="200"/>
      <c r="R7" s="200"/>
    </row>
    <row r="8" spans="1:20" ht="15.95" customHeight="1" x14ac:dyDescent="0.25">
      <c r="A8" s="200"/>
      <c r="B8" s="215" t="s">
        <v>85</v>
      </c>
      <c r="C8" s="216">
        <v>1.8</v>
      </c>
      <c r="D8" s="56" t="s">
        <v>257</v>
      </c>
      <c r="E8" s="51"/>
      <c r="F8" s="51"/>
      <c r="G8" s="51"/>
      <c r="H8" s="51"/>
      <c r="I8" s="51"/>
      <c r="J8" s="51"/>
      <c r="K8" s="51"/>
      <c r="L8" s="51"/>
      <c r="M8" s="213"/>
      <c r="N8" s="208" t="s">
        <v>267</v>
      </c>
      <c r="O8" s="201"/>
      <c r="P8" s="200"/>
      <c r="Q8" s="200"/>
      <c r="R8" s="200"/>
      <c r="S8" s="200"/>
      <c r="T8" s="200"/>
    </row>
    <row r="9" spans="1:20" ht="15.95" customHeight="1" x14ac:dyDescent="0.25">
      <c r="A9" s="200"/>
      <c r="B9" s="215" t="s">
        <v>260</v>
      </c>
      <c r="C9" s="216">
        <v>2</v>
      </c>
      <c r="D9" s="56" t="s">
        <v>259</v>
      </c>
      <c r="E9" s="51"/>
      <c r="F9" s="51"/>
      <c r="G9" s="51"/>
      <c r="H9" s="51"/>
      <c r="I9" s="51"/>
      <c r="J9" s="51"/>
      <c r="K9" s="51"/>
      <c r="L9" s="51"/>
      <c r="M9" s="213"/>
      <c r="N9" s="208" t="s">
        <v>237</v>
      </c>
      <c r="P9" s="200"/>
      <c r="Q9" s="200"/>
      <c r="R9" s="200"/>
      <c r="S9" s="200"/>
      <c r="T9" s="200"/>
    </row>
    <row r="10" spans="1:20" ht="15.95" customHeight="1" x14ac:dyDescent="0.25">
      <c r="A10" s="200"/>
      <c r="B10" s="215" t="s">
        <v>271</v>
      </c>
      <c r="C10" s="216">
        <v>0.5</v>
      </c>
      <c r="D10" s="56" t="s">
        <v>274</v>
      </c>
      <c r="E10" s="51"/>
      <c r="F10" s="51"/>
      <c r="G10" s="51"/>
      <c r="H10" s="51"/>
      <c r="I10" s="51"/>
      <c r="J10" s="51"/>
      <c r="K10" s="51"/>
      <c r="L10" s="51"/>
      <c r="M10" s="213"/>
      <c r="N10" s="208" t="s">
        <v>268</v>
      </c>
      <c r="P10" s="200"/>
      <c r="Q10" s="200"/>
      <c r="R10" s="200"/>
      <c r="S10" s="200"/>
      <c r="T10" s="200"/>
    </row>
    <row r="11" spans="1:20" ht="15.95" customHeight="1" x14ac:dyDescent="0.25">
      <c r="A11" s="200"/>
      <c r="B11" s="215" t="s">
        <v>272</v>
      </c>
      <c r="C11" s="216">
        <v>0.25</v>
      </c>
      <c r="D11" s="56" t="s">
        <v>275</v>
      </c>
      <c r="E11" s="51"/>
      <c r="F11" s="51"/>
      <c r="G11" s="51"/>
      <c r="H11" s="51"/>
      <c r="I11" s="51"/>
      <c r="J11" s="51"/>
      <c r="K11" s="51"/>
      <c r="L11" s="51"/>
      <c r="M11" s="213"/>
      <c r="N11" s="208" t="s">
        <v>238</v>
      </c>
      <c r="P11" s="200"/>
      <c r="Q11" s="200"/>
      <c r="R11" s="200"/>
      <c r="S11" s="200"/>
      <c r="T11" s="200"/>
    </row>
    <row r="12" spans="1:20" ht="15.95" customHeight="1" x14ac:dyDescent="0.25">
      <c r="A12" s="200"/>
      <c r="B12" s="215" t="s">
        <v>273</v>
      </c>
      <c r="C12" s="216">
        <v>2.1</v>
      </c>
      <c r="D12" s="56" t="s">
        <v>276</v>
      </c>
      <c r="E12" s="51"/>
      <c r="F12" s="51"/>
      <c r="G12" s="51"/>
      <c r="H12" s="51"/>
      <c r="I12" s="51"/>
      <c r="J12" s="51"/>
      <c r="K12" s="51"/>
      <c r="L12" s="51"/>
      <c r="M12" s="213"/>
      <c r="N12" s="208"/>
      <c r="P12" s="200"/>
      <c r="Q12" s="200"/>
      <c r="R12" s="200"/>
      <c r="S12" s="200"/>
      <c r="T12" s="200"/>
    </row>
    <row r="13" spans="1:20" ht="15.95" customHeight="1" x14ac:dyDescent="0.25">
      <c r="A13" s="200"/>
      <c r="B13" s="215" t="s">
        <v>277</v>
      </c>
      <c r="C13" s="216">
        <v>3</v>
      </c>
      <c r="D13" s="56" t="s">
        <v>307</v>
      </c>
      <c r="E13" s="51"/>
      <c r="F13" s="51"/>
      <c r="G13" s="51"/>
      <c r="H13" s="51"/>
      <c r="I13" s="51"/>
      <c r="J13" s="51"/>
      <c r="K13" s="51"/>
      <c r="L13" s="51"/>
      <c r="M13" s="213"/>
      <c r="N13" s="208" t="s">
        <v>240</v>
      </c>
      <c r="P13" s="200"/>
      <c r="Q13" s="200"/>
      <c r="R13" s="200"/>
      <c r="S13" s="200"/>
      <c r="T13" s="200"/>
    </row>
    <row r="14" spans="1:20" ht="15.95" customHeight="1" x14ac:dyDescent="0.25">
      <c r="A14" s="200"/>
      <c r="B14" s="215" t="s">
        <v>261</v>
      </c>
      <c r="C14" s="216">
        <v>0</v>
      </c>
      <c r="D14" s="56" t="s">
        <v>279</v>
      </c>
      <c r="E14" s="51"/>
      <c r="F14" s="51"/>
      <c r="G14" s="51"/>
      <c r="H14" s="51"/>
      <c r="I14" s="51"/>
      <c r="J14" s="51"/>
      <c r="K14" s="51"/>
      <c r="L14" s="51"/>
      <c r="M14" s="213"/>
      <c r="N14" s="208" t="s">
        <v>241</v>
      </c>
      <c r="Q14" s="200"/>
      <c r="R14" s="200"/>
      <c r="S14" s="200"/>
      <c r="T14" s="200"/>
    </row>
    <row r="15" spans="1:20" ht="15.95" customHeight="1" x14ac:dyDescent="0.25">
      <c r="A15" s="200"/>
      <c r="B15" s="215" t="s">
        <v>250</v>
      </c>
      <c r="C15" s="216">
        <v>19</v>
      </c>
      <c r="D15" s="56" t="s">
        <v>282</v>
      </c>
      <c r="E15" s="51"/>
      <c r="F15" s="51"/>
      <c r="G15" s="51"/>
      <c r="H15" s="51"/>
      <c r="I15" s="51"/>
      <c r="J15" s="51"/>
      <c r="K15" s="51"/>
      <c r="L15" s="51"/>
      <c r="M15" s="213"/>
      <c r="N15" s="208"/>
      <c r="Q15" s="200"/>
      <c r="R15" s="200"/>
      <c r="S15" s="200"/>
      <c r="T15" s="200"/>
    </row>
    <row r="16" spans="1:20" ht="15.95" customHeight="1" x14ac:dyDescent="0.25">
      <c r="A16" s="200"/>
      <c r="B16" s="215" t="s">
        <v>251</v>
      </c>
      <c r="C16" s="216">
        <v>0.26</v>
      </c>
      <c r="D16" s="56" t="s">
        <v>281</v>
      </c>
      <c r="E16" s="51"/>
      <c r="F16" s="51"/>
      <c r="G16" s="51"/>
      <c r="H16" s="51"/>
      <c r="I16" s="51"/>
      <c r="J16" s="51"/>
      <c r="K16" s="51"/>
      <c r="L16" s="51"/>
      <c r="M16" s="213"/>
      <c r="N16" s="208" t="s">
        <v>243</v>
      </c>
      <c r="Q16" s="200"/>
      <c r="R16" s="200"/>
      <c r="S16" s="200"/>
      <c r="T16" s="200"/>
    </row>
    <row r="17" spans="1:20" ht="15.95" customHeight="1" x14ac:dyDescent="0.25">
      <c r="A17" s="200"/>
      <c r="B17" s="215" t="s">
        <v>287</v>
      </c>
      <c r="C17" s="216">
        <v>1.8</v>
      </c>
      <c r="D17" s="56" t="s">
        <v>286</v>
      </c>
      <c r="E17" s="51"/>
      <c r="F17" s="51"/>
      <c r="G17" s="51"/>
      <c r="H17" s="51"/>
      <c r="I17" s="51"/>
      <c r="J17" s="51"/>
      <c r="K17" s="51"/>
      <c r="L17" s="51"/>
      <c r="M17" s="213"/>
      <c r="N17" s="208" t="s">
        <v>244</v>
      </c>
      <c r="Q17" s="200"/>
      <c r="R17" s="200"/>
      <c r="S17" s="200"/>
      <c r="T17" s="200"/>
    </row>
    <row r="18" spans="1:20" ht="15.95" customHeight="1" x14ac:dyDescent="0.25">
      <c r="A18" s="200"/>
      <c r="B18" s="215" t="s">
        <v>288</v>
      </c>
      <c r="C18" s="216">
        <v>1.6</v>
      </c>
      <c r="D18" s="56" t="s">
        <v>280</v>
      </c>
      <c r="E18" s="51"/>
      <c r="F18" s="51"/>
      <c r="G18" s="51"/>
      <c r="H18" s="51"/>
      <c r="I18" s="51"/>
      <c r="J18" s="51"/>
      <c r="K18" s="51"/>
      <c r="L18" s="51"/>
      <c r="M18" s="213"/>
      <c r="N18" s="208"/>
      <c r="Q18" s="200"/>
      <c r="R18" s="200"/>
      <c r="S18" s="200"/>
      <c r="T18" s="200"/>
    </row>
    <row r="19" spans="1:20" ht="15.95" customHeight="1" x14ac:dyDescent="0.25">
      <c r="A19" s="200"/>
      <c r="B19" s="215" t="s">
        <v>297</v>
      </c>
      <c r="C19" s="216">
        <v>2</v>
      </c>
      <c r="D19" s="56" t="s">
        <v>298</v>
      </c>
      <c r="E19" s="51"/>
      <c r="F19" s="51"/>
      <c r="G19" s="51"/>
      <c r="H19" s="51"/>
      <c r="I19" s="51"/>
      <c r="J19" s="51"/>
      <c r="K19" s="51"/>
      <c r="L19" s="51"/>
      <c r="M19" s="213"/>
      <c r="N19" s="208" t="s">
        <v>266</v>
      </c>
      <c r="Q19" s="200"/>
      <c r="R19" s="200"/>
      <c r="S19" s="200"/>
      <c r="T19" s="200"/>
    </row>
    <row r="20" spans="1:20" ht="15.95" customHeight="1" thickBot="1" x14ac:dyDescent="0.3">
      <c r="A20" s="200"/>
      <c r="B20" s="217" t="s">
        <v>296</v>
      </c>
      <c r="C20" s="218">
        <v>2</v>
      </c>
      <c r="D20" s="53" t="s">
        <v>299</v>
      </c>
      <c r="E20" s="52"/>
      <c r="F20" s="52"/>
      <c r="G20" s="52"/>
      <c r="H20" s="52"/>
      <c r="I20" s="52"/>
      <c r="J20" s="52"/>
      <c r="K20" s="52"/>
      <c r="L20" s="52"/>
      <c r="M20" s="219"/>
      <c r="N20" s="208" t="s">
        <v>265</v>
      </c>
      <c r="Q20" s="200"/>
      <c r="R20" s="200"/>
      <c r="S20" s="200"/>
      <c r="T20" s="200"/>
    </row>
    <row r="21" spans="1:20" ht="12.75" customHeight="1" x14ac:dyDescent="0.25">
      <c r="A21" s="200"/>
      <c r="B21" s="200" t="s">
        <v>290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Q21" s="201"/>
      <c r="R21" s="200"/>
      <c r="S21" s="200"/>
      <c r="T21" s="200"/>
    </row>
    <row r="22" spans="1:20" ht="14.1" customHeight="1" x14ac:dyDescent="0.25">
      <c r="A22" s="200"/>
      <c r="B22" s="200" t="s">
        <v>248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9" t="s">
        <v>229</v>
      </c>
      <c r="O22" s="209" t="s">
        <v>230</v>
      </c>
      <c r="P22" s="210" t="s">
        <v>300</v>
      </c>
      <c r="Q22" s="201"/>
      <c r="R22" s="200"/>
      <c r="S22" s="200"/>
      <c r="T22" s="200"/>
    </row>
    <row r="23" spans="1:20" ht="14.1" customHeight="1" x14ac:dyDescent="0.25">
      <c r="A23" s="200"/>
      <c r="B23" s="200" t="s">
        <v>246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9">
        <f>IF(I4=1,1.2,IF(I4=2,1.1,1))</f>
        <v>1</v>
      </c>
      <c r="O23" s="209">
        <f>IF(I4=1,1.4,IF(I4=2,1.3,IF(OR(I4=3,I4=4),1.2,IF(OR(I4=5,I4=6),1.1,IF(I4=7,1,1)))))</f>
        <v>1</v>
      </c>
      <c r="P23" s="210">
        <f>C19/C20</f>
        <v>1</v>
      </c>
      <c r="Q23" s="201"/>
      <c r="R23" s="200"/>
      <c r="S23" s="200"/>
      <c r="T23" s="200"/>
    </row>
    <row r="24" spans="1:20" ht="14.1" customHeight="1" x14ac:dyDescent="0.25">
      <c r="A24" s="200"/>
      <c r="B24" s="200" t="s">
        <v>247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Q24" s="201"/>
      <c r="R24" s="200"/>
      <c r="S24" s="200"/>
      <c r="T24" s="200"/>
    </row>
    <row r="25" spans="1:20" ht="14.1" customHeight="1" x14ac:dyDescent="0.25">
      <c r="A25" s="200"/>
      <c r="B25" s="200" t="s">
        <v>245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Q25" s="201"/>
      <c r="R25" s="200"/>
      <c r="S25" s="200"/>
      <c r="T25" s="200"/>
    </row>
    <row r="26" spans="1:20" ht="14.1" customHeight="1" x14ac:dyDescent="0.25">
      <c r="A26" s="200"/>
      <c r="B26" s="200" t="s">
        <v>249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Q26" s="201"/>
      <c r="R26" s="200"/>
      <c r="S26" s="200"/>
      <c r="T26" s="200"/>
    </row>
    <row r="27" spans="1:20" ht="14.1" customHeight="1" x14ac:dyDescent="0.25">
      <c r="A27" s="200"/>
      <c r="B27" s="200" t="s">
        <v>309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Q27" s="201"/>
      <c r="R27" s="200"/>
      <c r="S27" s="200"/>
      <c r="T27" s="200"/>
    </row>
    <row r="28" spans="1:20" ht="14.1" customHeight="1" x14ac:dyDescent="0.25">
      <c r="A28" s="200"/>
      <c r="B28" s="200" t="s">
        <v>278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Q28" s="201"/>
      <c r="R28" s="200" t="s">
        <v>308</v>
      </c>
      <c r="S28" s="200"/>
      <c r="T28" s="200"/>
    </row>
    <row r="29" spans="1:20" ht="14.1" customHeight="1" thickBot="1" x14ac:dyDescent="0.3">
      <c r="A29" s="200"/>
      <c r="B29" s="200" t="s">
        <v>258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Q29" s="201"/>
      <c r="R29" s="200"/>
      <c r="S29" s="200"/>
      <c r="T29" s="200"/>
    </row>
    <row r="30" spans="1:20" ht="15.95" customHeight="1" thickBot="1" x14ac:dyDescent="0.3">
      <c r="A30" s="200"/>
      <c r="B30" s="244" t="s">
        <v>204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Q30" s="201"/>
      <c r="R30" s="200"/>
      <c r="S30" s="200"/>
      <c r="T30" s="200"/>
    </row>
    <row r="31" spans="1:20" ht="15.95" customHeight="1" thickBot="1" x14ac:dyDescent="0.3">
      <c r="A31" s="200"/>
      <c r="B31" s="228" t="s">
        <v>294</v>
      </c>
      <c r="C31" s="231">
        <f>C33*C34/C35*(C40*C36*C8*C37+C41*C43*C38+(C41-1)*IF(I7=1,0,IF(C13&lt;=2,C13,2))*C38+C42*C16)</f>
        <v>9.2163993928521286</v>
      </c>
      <c r="D31" s="105" t="s">
        <v>295</v>
      </c>
      <c r="E31" s="229"/>
      <c r="F31" s="229"/>
      <c r="G31" s="229"/>
      <c r="H31" s="229"/>
      <c r="I31" s="229"/>
      <c r="J31" s="229"/>
      <c r="K31" s="229"/>
      <c r="L31" s="229"/>
      <c r="M31" s="230"/>
      <c r="Q31" s="201"/>
      <c r="R31" s="200"/>
      <c r="S31" s="200"/>
      <c r="T31" s="200"/>
    </row>
    <row r="32" spans="1:20" ht="15.95" customHeight="1" x14ac:dyDescent="0.25">
      <c r="A32" s="200"/>
      <c r="B32" s="232" t="s">
        <v>292</v>
      </c>
      <c r="C32" s="233">
        <f>IF(C8&lt;10,C8/2,4+0.1*C8)</f>
        <v>0.9</v>
      </c>
      <c r="D32" s="56" t="s">
        <v>293</v>
      </c>
      <c r="E32" s="51"/>
      <c r="F32" s="51"/>
      <c r="G32" s="51"/>
      <c r="H32" s="51"/>
      <c r="I32" s="51"/>
      <c r="J32" s="51"/>
      <c r="K32" s="51"/>
      <c r="L32" s="51"/>
      <c r="M32" s="213"/>
      <c r="Q32" s="201"/>
      <c r="R32" s="200"/>
      <c r="S32" s="200"/>
      <c r="T32" s="200"/>
    </row>
    <row r="33" spans="1:20" ht="15.95" customHeight="1" x14ac:dyDescent="0.25">
      <c r="A33" s="200"/>
      <c r="B33" s="215" t="s">
        <v>262</v>
      </c>
      <c r="C33" s="220">
        <f>IF(I4=1,1.4,IF(I4=2,1.3,IF(OR(I4=3,I4=5),1.25,IF(OR(I4=4,I4=7),1.1,IF(I4=6,1.2,1)))))</f>
        <v>1.1000000000000001</v>
      </c>
      <c r="D33" s="56" t="s">
        <v>254</v>
      </c>
      <c r="E33" s="51"/>
      <c r="F33" s="51"/>
      <c r="G33" s="51"/>
      <c r="H33" s="51"/>
      <c r="I33" s="51"/>
      <c r="J33" s="51"/>
      <c r="K33" s="51"/>
      <c r="L33" s="51"/>
      <c r="M33" s="213"/>
      <c r="R33" s="200"/>
      <c r="S33" s="200"/>
      <c r="T33" s="200"/>
    </row>
    <row r="34" spans="1:20" ht="15.95" customHeight="1" x14ac:dyDescent="0.25">
      <c r="A34" s="200"/>
      <c r="B34" s="215" t="s">
        <v>263</v>
      </c>
      <c r="C34" s="221">
        <f>IF(I5=2,IF(P23&lt;=1.5,O23,IF(P23&gt;=4,N23,(O23-N23)*(P23-1.5)/2.5+N23)),1)</f>
        <v>1</v>
      </c>
      <c r="D34" s="56" t="s">
        <v>253</v>
      </c>
      <c r="E34" s="51"/>
      <c r="F34" s="51"/>
      <c r="G34" s="51"/>
      <c r="H34" s="51"/>
      <c r="I34" s="51"/>
      <c r="J34" s="51"/>
      <c r="K34" s="51"/>
      <c r="L34" s="51"/>
      <c r="M34" s="213"/>
      <c r="Q34" s="201"/>
      <c r="R34" s="200"/>
      <c r="S34" s="200"/>
      <c r="T34" s="200"/>
    </row>
    <row r="35" spans="1:20" ht="15.95" customHeight="1" x14ac:dyDescent="0.25">
      <c r="A35" s="200"/>
      <c r="B35" s="215" t="s">
        <v>252</v>
      </c>
      <c r="C35" s="220">
        <f>IF(I6=1,1,1.1)</f>
        <v>1</v>
      </c>
      <c r="D35" s="56" t="s">
        <v>255</v>
      </c>
      <c r="E35" s="51"/>
      <c r="F35" s="51"/>
      <c r="G35" s="51"/>
      <c r="H35" s="51"/>
      <c r="I35" s="51"/>
      <c r="J35" s="51"/>
      <c r="K35" s="51"/>
      <c r="L35" s="51"/>
      <c r="M35" s="213"/>
      <c r="O35" s="200"/>
      <c r="P35" s="200"/>
      <c r="R35" s="200"/>
      <c r="S35" s="200"/>
      <c r="T35" s="200"/>
    </row>
    <row r="36" spans="1:20" ht="15.95" customHeight="1" x14ac:dyDescent="0.25">
      <c r="A36" s="200"/>
      <c r="B36" s="215" t="s">
        <v>264</v>
      </c>
      <c r="C36" s="221">
        <f>IF(C8&lt;10,1,8/C8+0.2)</f>
        <v>1</v>
      </c>
      <c r="D36" s="56" t="s">
        <v>256</v>
      </c>
      <c r="E36" s="51"/>
      <c r="F36" s="51"/>
      <c r="G36" s="51"/>
      <c r="H36" s="51"/>
      <c r="I36" s="51"/>
      <c r="J36" s="51"/>
      <c r="K36" s="51"/>
      <c r="L36" s="51"/>
      <c r="M36" s="213"/>
      <c r="O36" s="200"/>
      <c r="P36" s="200"/>
      <c r="Q36" s="201"/>
      <c r="R36" s="200"/>
      <c r="S36" s="200"/>
      <c r="T36" s="200"/>
    </row>
    <row r="37" spans="1:20" ht="15.95" customHeight="1" x14ac:dyDescent="0.25">
      <c r="A37" s="200"/>
      <c r="B37" s="215" t="s">
        <v>310</v>
      </c>
      <c r="C37" s="221">
        <f>IF(C14&gt;(C9+C32),C17,IF(C14&lt;=C9,1.05,((C9-C14+C32)*1.05+(C14-C9)*C17)/C32))</f>
        <v>1.05</v>
      </c>
      <c r="D37" s="56" t="s">
        <v>289</v>
      </c>
      <c r="E37" s="51"/>
      <c r="F37" s="51"/>
      <c r="G37" s="51"/>
      <c r="H37" s="51"/>
      <c r="I37" s="51"/>
      <c r="J37" s="51"/>
      <c r="K37" s="51"/>
      <c r="L37" s="51"/>
      <c r="M37" s="213"/>
      <c r="O37" s="200"/>
      <c r="P37" s="200"/>
      <c r="Q37" s="201"/>
      <c r="R37" s="200"/>
      <c r="S37" s="200"/>
      <c r="T37" s="200"/>
    </row>
    <row r="38" spans="1:20" ht="15.95" customHeight="1" x14ac:dyDescent="0.25">
      <c r="A38" s="200"/>
      <c r="B38" s="215" t="s">
        <v>311</v>
      </c>
      <c r="C38" s="221">
        <f>IF(C14&gt;C9,C18,((C9-C14)*1.05+C14*C18)/C9)</f>
        <v>1.05</v>
      </c>
      <c r="D38" s="56" t="s">
        <v>312</v>
      </c>
      <c r="E38" s="51"/>
      <c r="F38" s="51"/>
      <c r="G38" s="51"/>
      <c r="H38" s="51"/>
      <c r="I38" s="51"/>
      <c r="J38" s="51"/>
      <c r="K38" s="51"/>
      <c r="L38" s="51"/>
      <c r="M38" s="213"/>
      <c r="O38" s="200"/>
      <c r="P38" s="200"/>
      <c r="Q38" s="201"/>
      <c r="R38" s="200"/>
      <c r="S38" s="200"/>
      <c r="T38" s="200"/>
    </row>
    <row r="39" spans="1:20" ht="15.95" customHeight="1" x14ac:dyDescent="0.3">
      <c r="A39" s="200"/>
      <c r="B39" s="27" t="s">
        <v>65</v>
      </c>
      <c r="C39" s="221">
        <f>PI()/(_xlfn.COT(C15/180*PI())+C15/180*PI()-PI()/2)</f>
        <v>1.886811714392882</v>
      </c>
      <c r="D39" s="56" t="s">
        <v>301</v>
      </c>
      <c r="E39" s="51"/>
      <c r="F39" s="51"/>
      <c r="G39" s="51"/>
      <c r="H39" s="222" t="s">
        <v>303</v>
      </c>
      <c r="I39" s="51"/>
      <c r="J39" s="51"/>
      <c r="K39" s="51"/>
      <c r="L39" s="51"/>
      <c r="M39" s="213"/>
      <c r="O39" s="200"/>
      <c r="P39" s="200"/>
      <c r="Q39" s="201"/>
      <c r="R39" s="200"/>
      <c r="S39" s="200"/>
      <c r="T39" s="200"/>
    </row>
    <row r="40" spans="1:20" ht="15.95" customHeight="1" x14ac:dyDescent="0.3">
      <c r="A40" s="200"/>
      <c r="B40" s="223" t="s">
        <v>283</v>
      </c>
      <c r="C40" s="224">
        <f>C39/4</f>
        <v>0.47170292859822049</v>
      </c>
      <c r="D40" s="56" t="s">
        <v>233</v>
      </c>
      <c r="E40" s="51"/>
      <c r="F40" s="51"/>
      <c r="G40" s="51"/>
      <c r="H40" s="225" t="s">
        <v>302</v>
      </c>
      <c r="I40" s="51"/>
      <c r="J40" s="51"/>
      <c r="K40" s="51"/>
      <c r="L40" s="51"/>
      <c r="M40" s="213"/>
      <c r="O40" s="200"/>
      <c r="P40" s="200"/>
      <c r="R40" s="200"/>
      <c r="S40" s="200"/>
      <c r="T40" s="200"/>
    </row>
    <row r="41" spans="1:20" ht="15.95" customHeight="1" x14ac:dyDescent="0.25">
      <c r="A41" s="200"/>
      <c r="B41" s="223" t="s">
        <v>284</v>
      </c>
      <c r="C41" s="224">
        <f>1+C39</f>
        <v>2.886811714392882</v>
      </c>
      <c r="D41" s="56" t="s">
        <v>233</v>
      </c>
      <c r="E41" s="51"/>
      <c r="F41" s="51"/>
      <c r="G41" s="51"/>
      <c r="H41" s="51"/>
      <c r="I41" s="51"/>
      <c r="J41" s="51"/>
      <c r="K41" s="51"/>
      <c r="L41" s="51"/>
      <c r="M41" s="213"/>
      <c r="O41" s="200"/>
      <c r="P41" s="200"/>
      <c r="R41" s="200"/>
      <c r="S41" s="200"/>
      <c r="T41" s="200"/>
    </row>
    <row r="42" spans="1:20" ht="15.95" customHeight="1" x14ac:dyDescent="0.25">
      <c r="A42" s="200"/>
      <c r="B42" s="223" t="s">
        <v>285</v>
      </c>
      <c r="C42" s="224">
        <f>C39*_xlfn.COT(C15/180*PI())</f>
        <v>5.4796991050659756</v>
      </c>
      <c r="D42" s="56" t="s">
        <v>233</v>
      </c>
      <c r="E42" s="51"/>
      <c r="F42" s="51"/>
      <c r="G42" s="51"/>
      <c r="H42" s="51"/>
      <c r="I42" s="51"/>
      <c r="J42" s="51"/>
      <c r="K42" s="51"/>
      <c r="L42" s="51"/>
      <c r="M42" s="213"/>
      <c r="O42" s="200"/>
      <c r="P42" s="200"/>
      <c r="Q42" s="200"/>
      <c r="R42" s="200"/>
      <c r="S42" s="200"/>
      <c r="T42" s="200"/>
    </row>
    <row r="43" spans="1:20" ht="15.95" customHeight="1" thickBot="1" x14ac:dyDescent="0.3">
      <c r="A43" s="200"/>
      <c r="B43" s="217" t="s">
        <v>260</v>
      </c>
      <c r="C43" s="226">
        <f>IF(I7=1,C9,C10+C11*C12/C38)</f>
        <v>2</v>
      </c>
      <c r="D43" s="53" t="s">
        <v>304</v>
      </c>
      <c r="E43" s="52"/>
      <c r="F43" s="52"/>
      <c r="G43" s="52"/>
      <c r="H43" s="52"/>
      <c r="I43" s="52"/>
      <c r="J43" s="52"/>
      <c r="K43" s="227"/>
      <c r="L43" s="52"/>
      <c r="M43" s="219"/>
      <c r="O43" s="200"/>
      <c r="P43" s="200"/>
      <c r="Q43" s="200"/>
      <c r="R43" s="200"/>
      <c r="S43" s="200"/>
      <c r="T43" s="200"/>
    </row>
    <row r="44" spans="1:20" ht="17.100000000000001" customHeight="1" x14ac:dyDescent="0.25">
      <c r="A44" s="200"/>
      <c r="B44" s="207"/>
      <c r="C44" s="200"/>
      <c r="D44" s="207"/>
      <c r="E44" s="200"/>
      <c r="F44" s="200"/>
      <c r="G44" s="200"/>
      <c r="H44" s="200"/>
      <c r="I44" s="200"/>
      <c r="J44" s="200"/>
      <c r="K44" s="200"/>
      <c r="L44" s="200"/>
      <c r="M44" s="200"/>
      <c r="O44" s="200"/>
      <c r="P44" s="200"/>
      <c r="Q44" s="200"/>
      <c r="R44" s="200"/>
      <c r="S44" s="200"/>
      <c r="T44" s="200"/>
    </row>
    <row r="45" spans="1:20" ht="17.100000000000001" customHeight="1" x14ac:dyDescent="0.25">
      <c r="A45" s="200"/>
      <c r="B45" s="207"/>
      <c r="C45" s="200"/>
      <c r="D45" s="207"/>
      <c r="E45" s="200"/>
      <c r="F45" s="200"/>
      <c r="G45" s="200"/>
      <c r="H45" s="200"/>
      <c r="I45" s="200"/>
      <c r="J45" s="200"/>
      <c r="K45" s="200"/>
      <c r="L45" s="200"/>
      <c r="M45" s="200"/>
      <c r="O45" s="200"/>
      <c r="P45" s="200"/>
      <c r="Q45" s="200"/>
      <c r="R45" s="200"/>
      <c r="S45" s="200"/>
      <c r="T45" s="200"/>
    </row>
    <row r="46" spans="1:20" ht="17.100000000000001" customHeight="1" x14ac:dyDescent="0.25">
      <c r="A46" s="200"/>
      <c r="B46" s="200"/>
      <c r="C46" s="200"/>
      <c r="D46" s="207"/>
      <c r="E46" s="200"/>
      <c r="F46" s="200"/>
      <c r="G46" s="200"/>
      <c r="H46" s="200"/>
      <c r="I46" s="200"/>
      <c r="J46" s="200"/>
      <c r="K46" s="200"/>
      <c r="L46" s="200"/>
      <c r="M46" s="200"/>
      <c r="O46" s="200"/>
      <c r="P46" s="200"/>
      <c r="Q46" s="200"/>
      <c r="R46" s="200"/>
      <c r="S46" s="200"/>
      <c r="T46" s="200"/>
    </row>
    <row r="47" spans="1:20" ht="17.100000000000001" customHeight="1" x14ac:dyDescent="0.25">
      <c r="A47" s="200"/>
      <c r="B47" s="200"/>
      <c r="C47" s="200"/>
      <c r="D47" s="207"/>
      <c r="E47" s="200"/>
      <c r="F47" s="200"/>
      <c r="G47" s="200"/>
      <c r="H47" s="200"/>
      <c r="I47" s="200"/>
      <c r="J47" s="200"/>
      <c r="K47" s="200"/>
      <c r="L47" s="200"/>
      <c r="M47" s="200"/>
      <c r="O47" s="200"/>
      <c r="P47" s="200"/>
      <c r="Q47" s="200"/>
      <c r="R47" s="200"/>
      <c r="S47" s="200"/>
      <c r="T47" s="200"/>
    </row>
    <row r="48" spans="1:20" ht="17.100000000000001" customHeight="1" x14ac:dyDescent="0.25">
      <c r="A48" s="200"/>
      <c r="B48" s="200"/>
      <c r="C48" s="200"/>
      <c r="D48" s="207"/>
      <c r="E48" s="200"/>
      <c r="F48" s="200"/>
      <c r="G48" s="200"/>
      <c r="H48" s="200"/>
      <c r="I48" s="200"/>
      <c r="J48" s="200"/>
      <c r="K48" s="200"/>
      <c r="L48" s="200"/>
      <c r="M48" s="200"/>
      <c r="O48" s="200"/>
      <c r="P48" s="200"/>
      <c r="Q48" s="200"/>
      <c r="R48" s="200"/>
      <c r="S48" s="200"/>
      <c r="T48" s="200"/>
    </row>
    <row r="49" spans="1:20" ht="15.95" customHeight="1" x14ac:dyDescent="0.25">
      <c r="A49" s="200"/>
      <c r="B49" s="200"/>
      <c r="C49" s="200"/>
      <c r="D49" s="207"/>
      <c r="E49" s="200"/>
      <c r="F49" s="200"/>
      <c r="G49" s="200"/>
      <c r="H49" s="200"/>
      <c r="I49" s="200"/>
      <c r="J49" s="200"/>
      <c r="K49" s="200"/>
      <c r="L49" s="200"/>
      <c r="M49" s="200"/>
      <c r="O49" s="200"/>
      <c r="P49" s="200"/>
      <c r="Q49" s="200"/>
      <c r="R49" s="200"/>
      <c r="S49" s="200"/>
      <c r="T49" s="200"/>
    </row>
    <row r="50" spans="1:20" ht="15.95" customHeight="1" x14ac:dyDescent="0.25">
      <c r="A50" s="200"/>
      <c r="B50" s="200"/>
      <c r="C50" s="200"/>
      <c r="D50" s="207"/>
      <c r="E50" s="200"/>
      <c r="F50" s="200"/>
      <c r="G50" s="200"/>
      <c r="H50" s="200"/>
      <c r="I50" s="200"/>
      <c r="J50" s="200"/>
      <c r="K50" s="200"/>
      <c r="L50" s="200"/>
      <c r="M50" s="200"/>
      <c r="O50" s="200"/>
      <c r="P50" s="200"/>
      <c r="Q50" s="200"/>
      <c r="R50" s="200"/>
      <c r="S50" s="200"/>
      <c r="T50" s="200"/>
    </row>
    <row r="51" spans="1:20" ht="15.95" customHeight="1" x14ac:dyDescent="0.2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O51" s="200"/>
      <c r="P51" s="200"/>
      <c r="Q51" s="200"/>
      <c r="R51" s="200"/>
      <c r="S51" s="200"/>
      <c r="T51" s="200"/>
    </row>
    <row r="52" spans="1:20" ht="15.95" customHeight="1" x14ac:dyDescent="0.2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O52" s="200"/>
      <c r="P52" s="200"/>
      <c r="Q52" s="200"/>
      <c r="R52" s="200"/>
      <c r="S52" s="200"/>
      <c r="T52" s="200"/>
    </row>
    <row r="53" spans="1:20" ht="15.95" customHeight="1" x14ac:dyDescent="0.2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41"/>
      <c r="O53" s="200"/>
      <c r="P53" s="200"/>
      <c r="Q53" s="200"/>
      <c r="R53" s="200"/>
      <c r="S53" s="200"/>
      <c r="T53" s="200"/>
    </row>
    <row r="54" spans="1:20" ht="15.95" customHeight="1" x14ac:dyDescent="0.25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</row>
    <row r="55" spans="1:20" ht="15.95" customHeight="1" x14ac:dyDescent="0.2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</row>
    <row r="56" spans="1:20" x14ac:dyDescent="0.2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</row>
    <row r="57" spans="1:20" x14ac:dyDescent="0.25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</row>
    <row r="58" spans="1:20" x14ac:dyDescent="0.2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</row>
    <row r="59" spans="1:20" x14ac:dyDescent="0.25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</row>
    <row r="60" spans="1:20" x14ac:dyDescent="0.2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</row>
    <row r="61" spans="1:20" x14ac:dyDescent="0.2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</row>
    <row r="62" spans="1:20" x14ac:dyDescent="0.2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</row>
    <row r="63" spans="1:20" x14ac:dyDescent="0.2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</row>
    <row r="64" spans="1:20" x14ac:dyDescent="0.2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</row>
    <row r="65" spans="1:20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</row>
    <row r="66" spans="1:2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</row>
    <row r="67" spans="1:2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</row>
    <row r="68" spans="1:2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</row>
    <row r="69" spans="1:2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</row>
    <row r="70" spans="1:2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</row>
    <row r="71" spans="1:2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</row>
    <row r="72" spans="1:2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</row>
    <row r="73" spans="1:2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</row>
    <row r="74" spans="1:2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</row>
    <row r="75" spans="1:2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</row>
    <row r="76" spans="1:2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</row>
    <row r="77" spans="1:2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</row>
    <row r="78" spans="1:2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</row>
    <row r="79" spans="1:2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</row>
    <row r="80" spans="1:2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</row>
    <row r="81" spans="1:2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</row>
    <row r="82" spans="1:2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</row>
    <row r="83" spans="1:2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</row>
    <row r="84" spans="1:2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</row>
    <row r="85" spans="1:2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</row>
    <row r="86" spans="1:2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</row>
    <row r="87" spans="1:2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</row>
    <row r="88" spans="1:2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</row>
    <row r="89" spans="1:2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</row>
    <row r="90" spans="1:2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</row>
    <row r="91" spans="1:2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</row>
    <row r="92" spans="1:2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</row>
    <row r="93" spans="1:2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</row>
    <row r="94" spans="1:2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</row>
    <row r="95" spans="1:2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</row>
    <row r="96" spans="1:2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</row>
    <row r="97" spans="1:20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</row>
    <row r="98" spans="1:20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</row>
    <row r="99" spans="1:20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</row>
    <row r="100" spans="1:20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</row>
    <row r="101" spans="1:20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</row>
    <row r="102" spans="1:20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</row>
    <row r="103" spans="1:20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</row>
    <row r="104" spans="1:20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</row>
    <row r="105" spans="1:20" x14ac:dyDescent="0.2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</row>
    <row r="106" spans="1:20" x14ac:dyDescent="0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</row>
    <row r="107" spans="1:20" x14ac:dyDescent="0.2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</row>
    <row r="108" spans="1:20" x14ac:dyDescent="0.2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</row>
    <row r="109" spans="1:20" x14ac:dyDescent="0.2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</row>
    <row r="110" spans="1:20" x14ac:dyDescent="0.2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</row>
    <row r="111" spans="1:20" x14ac:dyDescent="0.2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</row>
    <row r="112" spans="1:20" x14ac:dyDescent="0.2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</row>
    <row r="113" spans="1:20" x14ac:dyDescent="0.2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</row>
    <row r="114" spans="1:20" x14ac:dyDescent="0.2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</row>
    <row r="115" spans="1:20" x14ac:dyDescent="0.2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</row>
    <row r="116" spans="1:20" x14ac:dyDescent="0.25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</row>
    <row r="117" spans="1:20" x14ac:dyDescent="0.25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</row>
    <row r="118" spans="1:20" x14ac:dyDescent="0.2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</row>
    <row r="119" spans="1:20" x14ac:dyDescent="0.2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</row>
    <row r="120" spans="1:20" x14ac:dyDescent="0.2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</row>
    <row r="121" spans="1:20" x14ac:dyDescent="0.2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</row>
    <row r="122" spans="1:20" x14ac:dyDescent="0.2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</row>
    <row r="123" spans="1:20" x14ac:dyDescent="0.2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</row>
    <row r="124" spans="1:20" x14ac:dyDescent="0.2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</row>
    <row r="125" spans="1:20" x14ac:dyDescent="0.2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</row>
    <row r="126" spans="1:20" x14ac:dyDescent="0.2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</row>
    <row r="127" spans="1:20" x14ac:dyDescent="0.2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</row>
    <row r="128" spans="1:20" x14ac:dyDescent="0.2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</row>
    <row r="129" spans="1:20" x14ac:dyDescent="0.2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</row>
    <row r="130" spans="1:20" x14ac:dyDescent="0.2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</row>
    <row r="131" spans="1:20" x14ac:dyDescent="0.2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</row>
    <row r="132" spans="1:20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</row>
    <row r="133" spans="1:20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</row>
    <row r="134" spans="1:20" x14ac:dyDescent="0.2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</row>
    <row r="135" spans="1:20" x14ac:dyDescent="0.2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</row>
    <row r="136" spans="1:20" x14ac:dyDescent="0.2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</row>
    <row r="137" spans="1:20" x14ac:dyDescent="0.2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</row>
    <row r="138" spans="1:20" x14ac:dyDescent="0.2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</row>
    <row r="139" spans="1:20" x14ac:dyDescent="0.25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</row>
    <row r="140" spans="1:20" x14ac:dyDescent="0.25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</row>
    <row r="141" spans="1:20" x14ac:dyDescent="0.2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</row>
    <row r="142" spans="1:20" x14ac:dyDescent="0.2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</row>
    <row r="143" spans="1:20" x14ac:dyDescent="0.2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</row>
    <row r="144" spans="1:20" x14ac:dyDescent="0.2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</row>
    <row r="145" spans="1:20" x14ac:dyDescent="0.2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</row>
    <row r="146" spans="1:20" x14ac:dyDescent="0.25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</row>
    <row r="147" spans="1:20" x14ac:dyDescent="0.2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</row>
    <row r="148" spans="1:20" x14ac:dyDescent="0.2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</row>
    <row r="149" spans="1:20" x14ac:dyDescent="0.2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</row>
    <row r="150" spans="1:20" x14ac:dyDescent="0.2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</row>
    <row r="151" spans="1:20" x14ac:dyDescent="0.2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</row>
    <row r="152" spans="1:20" x14ac:dyDescent="0.2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</row>
    <row r="153" spans="1:20" x14ac:dyDescent="0.2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</row>
    <row r="154" spans="1:20" x14ac:dyDescent="0.2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</row>
    <row r="155" spans="1:20" x14ac:dyDescent="0.2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</row>
    <row r="156" spans="1:20" x14ac:dyDescent="0.2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</row>
    <row r="157" spans="1:20" x14ac:dyDescent="0.2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</row>
    <row r="158" spans="1:20" x14ac:dyDescent="0.2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</row>
    <row r="159" spans="1:20" x14ac:dyDescent="0.2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</row>
    <row r="160" spans="1:20" x14ac:dyDescent="0.2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</row>
    <row r="161" spans="1:20" x14ac:dyDescent="0.2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</row>
    <row r="162" spans="1:20" x14ac:dyDescent="0.2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</row>
    <row r="163" spans="1:20" x14ac:dyDescent="0.25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</row>
    <row r="164" spans="1:20" x14ac:dyDescent="0.25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</row>
    <row r="165" spans="1:20" x14ac:dyDescent="0.2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</row>
    <row r="166" spans="1:20" x14ac:dyDescent="0.2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</row>
    <row r="167" spans="1:20" x14ac:dyDescent="0.25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</row>
    <row r="168" spans="1:20" x14ac:dyDescent="0.25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</row>
    <row r="169" spans="1:20" x14ac:dyDescent="0.25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</row>
    <row r="170" spans="1:20" x14ac:dyDescent="0.25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</row>
    <row r="171" spans="1:20" x14ac:dyDescent="0.25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</row>
    <row r="172" spans="1:20" x14ac:dyDescent="0.25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</row>
  </sheetData>
  <mergeCells count="2">
    <mergeCell ref="B30:M30"/>
    <mergeCell ref="B3:M3"/>
  </mergeCells>
  <conditionalFormatting sqref="B10:J12">
    <cfRule type="expression" dxfId="15" priority="8">
      <formula>$I$7=1</formula>
    </cfRule>
  </conditionalFormatting>
  <conditionalFormatting sqref="B9:J9">
    <cfRule type="expression" dxfId="14" priority="7">
      <formula>$I$7=2</formula>
    </cfRule>
  </conditionalFormatting>
  <conditionalFormatting sqref="B13:J13">
    <cfRule type="expression" dxfId="13" priority="6">
      <formula>$I$7=1</formula>
    </cfRule>
  </conditionalFormatting>
  <conditionalFormatting sqref="B19:J20">
    <cfRule type="expression" dxfId="12" priority="3">
      <formula>$I$5=1</formula>
    </cfRule>
  </conditionalFormatting>
  <conditionalFormatting sqref="P22">
    <cfRule type="expression" dxfId="11" priority="2">
      <formula>$I$5=1</formula>
    </cfRule>
  </conditionalFormatting>
  <conditionalFormatting sqref="P23">
    <cfRule type="expression" dxfId="10" priority="1">
      <formula>$I$5=1</formula>
    </cfRule>
  </conditionalFormatting>
  <pageMargins left="0.7" right="0.7" top="0.75" bottom="0.75" header="0.3" footer="0.3"/>
  <pageSetup paperSize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 siz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8</xdr:col>
                    <xdr:colOff>457200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Drop Down 16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8</xdr:col>
                    <xdr:colOff>457200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Drop Down 17">
              <controlPr defaultSize="0" autoLine="0" autoPict="0">
                <anchor moveWithCells="1" siz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8</xdr:col>
                    <xdr:colOff>457200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7" name="Drop Down 27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8</xdr:col>
                    <xdr:colOff>457200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95"/>
  <sheetViews>
    <sheetView tabSelected="1" topLeftCell="A55" zoomScale="85" zoomScaleNormal="85" zoomScaleSheetLayoutView="100" workbookViewId="0">
      <selection activeCell="C76" sqref="C76"/>
    </sheetView>
  </sheetViews>
  <sheetFormatPr defaultRowHeight="15" x14ac:dyDescent="0.25"/>
  <cols>
    <col min="1" max="1" width="3.140625" customWidth="1"/>
    <col min="2" max="2" width="9" customWidth="1"/>
    <col min="3" max="13" width="10.7109375" customWidth="1"/>
    <col min="14" max="14" width="4.42578125" customWidth="1"/>
  </cols>
  <sheetData>
    <row r="1" spans="2:22" x14ac:dyDescent="0.25">
      <c r="B1" s="130" t="s">
        <v>305</v>
      </c>
    </row>
    <row r="2" spans="2:22" ht="15.75" thickBot="1" x14ac:dyDescent="0.3">
      <c r="B2" s="130" t="s">
        <v>291</v>
      </c>
      <c r="C2" s="47"/>
      <c r="D2" s="47"/>
      <c r="E2" s="47"/>
      <c r="F2" s="47"/>
      <c r="G2" s="49"/>
      <c r="I2" s="49"/>
      <c r="K2" s="47"/>
      <c r="N2" s="58" t="s">
        <v>114</v>
      </c>
      <c r="O2" s="46"/>
      <c r="P2" s="46"/>
      <c r="Q2" s="46"/>
      <c r="R2" s="46"/>
      <c r="S2" s="59"/>
      <c r="T2" s="60"/>
      <c r="U2" s="46"/>
      <c r="V2" s="46"/>
    </row>
    <row r="3" spans="2:22" ht="15.75" thickBot="1" x14ac:dyDescent="0.3">
      <c r="B3" s="237" t="s">
        <v>141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58" t="s">
        <v>113</v>
      </c>
      <c r="O3" s="46"/>
      <c r="P3" s="46"/>
      <c r="Q3" s="46"/>
      <c r="R3" s="46"/>
      <c r="S3" s="46"/>
      <c r="T3" s="46"/>
      <c r="U3" s="46"/>
      <c r="V3" s="46"/>
    </row>
    <row r="4" spans="2:22" x14ac:dyDescent="0.25">
      <c r="B4" s="89"/>
      <c r="C4" s="90">
        <v>2</v>
      </c>
      <c r="D4" s="90"/>
      <c r="E4" s="16"/>
      <c r="F4" s="16"/>
      <c r="G4" s="16"/>
      <c r="H4" s="16"/>
      <c r="I4" s="111">
        <v>1</v>
      </c>
      <c r="J4" s="113" t="s">
        <v>2</v>
      </c>
      <c r="K4" s="16"/>
      <c r="L4" s="16"/>
      <c r="M4" s="17"/>
      <c r="N4" s="46"/>
      <c r="O4" s="46"/>
      <c r="P4" s="46"/>
      <c r="Q4" s="46"/>
      <c r="R4" s="46"/>
      <c r="S4" s="46"/>
      <c r="T4" s="46"/>
      <c r="U4" s="46"/>
      <c r="V4" s="46"/>
    </row>
    <row r="5" spans="2:22" x14ac:dyDescent="0.25">
      <c r="B5" s="91"/>
      <c r="C5" s="19"/>
      <c r="D5" s="92"/>
      <c r="E5" s="19"/>
      <c r="F5" s="19"/>
      <c r="G5" s="19"/>
      <c r="H5" s="19"/>
      <c r="I5" s="60">
        <v>1</v>
      </c>
      <c r="J5" s="114" t="s">
        <v>4</v>
      </c>
      <c r="K5" s="19"/>
      <c r="L5" s="19"/>
      <c r="M5" s="20"/>
      <c r="N5" s="58" t="s">
        <v>6</v>
      </c>
      <c r="O5" s="46"/>
      <c r="P5" s="46"/>
      <c r="Q5" s="46"/>
      <c r="R5" s="46"/>
      <c r="S5" s="46"/>
      <c r="T5" s="46"/>
      <c r="U5" s="46"/>
      <c r="V5" s="46"/>
    </row>
    <row r="6" spans="2:22" x14ac:dyDescent="0.25">
      <c r="B6" s="91"/>
      <c r="C6" s="19"/>
      <c r="D6" s="92"/>
      <c r="E6" s="29"/>
      <c r="F6" s="19"/>
      <c r="G6" s="93"/>
      <c r="H6" s="19"/>
      <c r="I6" s="60">
        <v>1</v>
      </c>
      <c r="J6" s="114" t="s">
        <v>9</v>
      </c>
      <c r="K6" s="19"/>
      <c r="L6" s="19"/>
      <c r="M6" s="20"/>
      <c r="N6" s="58" t="s">
        <v>5</v>
      </c>
      <c r="O6" s="46"/>
      <c r="P6" s="46"/>
      <c r="Q6" s="46"/>
      <c r="R6" s="46"/>
      <c r="S6" s="61">
        <v>1.55</v>
      </c>
      <c r="T6" s="61">
        <v>1.7</v>
      </c>
      <c r="U6" s="61">
        <v>1.55</v>
      </c>
      <c r="V6" s="61">
        <v>1.7</v>
      </c>
    </row>
    <row r="7" spans="2:22" x14ac:dyDescent="0.25">
      <c r="B7" s="91"/>
      <c r="C7" s="92"/>
      <c r="D7" s="92"/>
      <c r="E7" s="19"/>
      <c r="F7" s="19"/>
      <c r="G7" s="19"/>
      <c r="H7" s="67"/>
      <c r="I7" s="60">
        <v>1</v>
      </c>
      <c r="J7" s="114" t="s">
        <v>76</v>
      </c>
      <c r="K7" s="19"/>
      <c r="L7" s="19"/>
      <c r="M7" s="20"/>
      <c r="N7" s="58" t="s">
        <v>95</v>
      </c>
      <c r="O7" s="46"/>
      <c r="P7" s="46"/>
      <c r="Q7" s="46"/>
      <c r="R7" s="46">
        <v>0.8</v>
      </c>
      <c r="S7" s="61">
        <v>3.2</v>
      </c>
      <c r="T7" s="61">
        <v>3.6</v>
      </c>
      <c r="U7" s="61">
        <v>3.2</v>
      </c>
      <c r="V7" s="61">
        <v>4</v>
      </c>
    </row>
    <row r="8" spans="2:22" x14ac:dyDescent="0.25">
      <c r="B8" s="91"/>
      <c r="C8" s="92"/>
      <c r="D8" s="92"/>
      <c r="E8" s="19"/>
      <c r="F8" s="19"/>
      <c r="G8" s="19"/>
      <c r="H8" s="67"/>
      <c r="I8" s="60">
        <v>1</v>
      </c>
      <c r="J8" s="114" t="s">
        <v>107</v>
      </c>
      <c r="K8" s="19"/>
      <c r="L8" s="19"/>
      <c r="M8" s="20"/>
      <c r="N8" s="58" t="s">
        <v>105</v>
      </c>
      <c r="O8" s="46"/>
      <c r="P8" s="46"/>
      <c r="Q8" s="46"/>
      <c r="R8" s="46">
        <v>1</v>
      </c>
      <c r="S8" s="61">
        <v>4</v>
      </c>
      <c r="T8" s="61">
        <v>4.5</v>
      </c>
      <c r="U8" s="61">
        <v>4</v>
      </c>
      <c r="V8" s="61">
        <v>5</v>
      </c>
    </row>
    <row r="9" spans="2:22" ht="15.75" thickBot="1" x14ac:dyDescent="0.3">
      <c r="B9" s="94"/>
      <c r="C9" s="95"/>
      <c r="D9" s="95"/>
      <c r="E9" s="22"/>
      <c r="F9" s="22"/>
      <c r="G9" s="22"/>
      <c r="H9" s="96"/>
      <c r="I9" s="112">
        <v>2</v>
      </c>
      <c r="J9" s="115" t="s">
        <v>108</v>
      </c>
      <c r="K9" s="22"/>
      <c r="L9" s="22"/>
      <c r="M9" s="23"/>
      <c r="N9" s="58" t="s">
        <v>106</v>
      </c>
      <c r="O9" s="46"/>
      <c r="P9" s="46"/>
      <c r="Q9" s="46"/>
      <c r="R9" s="46">
        <v>1.5</v>
      </c>
      <c r="S9" s="61">
        <v>5</v>
      </c>
      <c r="T9" s="61">
        <v>6.5</v>
      </c>
      <c r="U9" s="61">
        <v>5.5</v>
      </c>
      <c r="V9" s="61">
        <v>6.5</v>
      </c>
    </row>
    <row r="10" spans="2:22" ht="17.100000000000001" customHeight="1" thickBot="1" x14ac:dyDescent="0.3">
      <c r="B10" s="234" t="s">
        <v>42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  <c r="N10" s="58" t="s">
        <v>7</v>
      </c>
      <c r="O10" s="46"/>
      <c r="P10" s="46"/>
      <c r="Q10" s="46"/>
      <c r="R10" s="46">
        <v>2</v>
      </c>
      <c r="S10" s="61">
        <v>6</v>
      </c>
      <c r="T10" s="61">
        <v>8.5</v>
      </c>
      <c r="U10" s="61">
        <v>7</v>
      </c>
      <c r="V10" s="61">
        <v>8.5</v>
      </c>
    </row>
    <row r="11" spans="2:22" ht="15.95" customHeight="1" x14ac:dyDescent="0.3">
      <c r="B11" s="117" t="s">
        <v>176</v>
      </c>
      <c r="C11" s="132">
        <v>2</v>
      </c>
      <c r="D11" s="72" t="s">
        <v>31</v>
      </c>
      <c r="E11" s="16"/>
      <c r="F11" s="16"/>
      <c r="G11" s="16"/>
      <c r="H11" s="78"/>
      <c r="I11" s="16"/>
      <c r="J11" s="16"/>
      <c r="K11" s="16"/>
      <c r="L11" s="16"/>
      <c r="M11" s="17"/>
      <c r="N11" s="58" t="s">
        <v>8</v>
      </c>
      <c r="O11" s="46"/>
      <c r="P11" s="46"/>
      <c r="Q11" s="46"/>
      <c r="R11" s="46">
        <v>2.5</v>
      </c>
      <c r="S11" s="61" t="s">
        <v>118</v>
      </c>
      <c r="T11" s="61">
        <v>10</v>
      </c>
      <c r="U11" s="61" t="s">
        <v>118</v>
      </c>
      <c r="V11" s="61">
        <v>10</v>
      </c>
    </row>
    <row r="12" spans="2:22" ht="15.95" customHeight="1" x14ac:dyDescent="0.25">
      <c r="B12" s="65" t="s">
        <v>52</v>
      </c>
      <c r="C12" s="8">
        <v>3.2</v>
      </c>
      <c r="D12" s="29" t="s">
        <v>51</v>
      </c>
      <c r="E12" s="19"/>
      <c r="F12" s="19"/>
      <c r="G12" s="19"/>
      <c r="H12" s="67"/>
      <c r="I12" s="19"/>
      <c r="J12" s="19"/>
      <c r="K12" s="19"/>
      <c r="L12" s="19"/>
      <c r="M12" s="20"/>
      <c r="N12" s="46"/>
      <c r="O12" s="46"/>
      <c r="P12" s="46"/>
      <c r="Q12" s="46"/>
      <c r="R12" s="46"/>
      <c r="S12" s="62">
        <f>IF(C58&lt;=1,4*C58,IF(C58&lt;=2,4+2*(C58-1),S11))</f>
        <v>3.8888888888888888</v>
      </c>
      <c r="T12" s="62">
        <f>IF(C58&lt;=1,4.5*C58,IF(C58&lt;=2,4.5+4*(C58-1),IF(C58&lt;=2.5,8.5+1.5*(C58-2),T11)))</f>
        <v>4.375</v>
      </c>
      <c r="U12" s="62">
        <f>IF(C58&lt;=1,4*C58,IF(C58&lt;=2,4+3*(C58-1),S11))</f>
        <v>3.8888888888888888</v>
      </c>
      <c r="V12" s="62">
        <f>IF(C58&lt;=1,5*C58,IF(C58&lt;=1.5,5+1.5/0.5*(C58-1),IF(C58&lt;=2,6.5+2/0.5*(C58-1.5),IF(C58&lt;=2.5,8.5+1.5/0.5*(C58-2),V11))))</f>
        <v>4.8611111111111107</v>
      </c>
    </row>
    <row r="13" spans="2:22" ht="15.95" customHeight="1" x14ac:dyDescent="0.35">
      <c r="B13" s="73" t="s">
        <v>205</v>
      </c>
      <c r="C13" s="8">
        <v>0.45</v>
      </c>
      <c r="D13" s="29" t="s">
        <v>41</v>
      </c>
      <c r="E13" s="19"/>
      <c r="F13" s="19"/>
      <c r="G13" s="19"/>
      <c r="H13" s="19"/>
      <c r="I13" s="19"/>
      <c r="J13" s="19"/>
      <c r="K13" s="19"/>
      <c r="L13" s="19"/>
      <c r="M13" s="20"/>
      <c r="N13" s="58" t="s">
        <v>3</v>
      </c>
      <c r="O13" s="46"/>
      <c r="P13" s="46"/>
      <c r="Q13" s="46"/>
      <c r="R13" s="46"/>
      <c r="S13" s="46"/>
      <c r="T13" s="46"/>
      <c r="U13" s="46"/>
      <c r="V13" s="46"/>
    </row>
    <row r="14" spans="2:22" ht="15.95" customHeight="1" x14ac:dyDescent="0.25">
      <c r="B14" s="119" t="s">
        <v>27</v>
      </c>
      <c r="C14" s="8">
        <v>1.8</v>
      </c>
      <c r="D14" s="155" t="s">
        <v>91</v>
      </c>
      <c r="E14" s="82"/>
      <c r="F14" s="82"/>
      <c r="G14" s="82"/>
      <c r="H14" s="82"/>
      <c r="I14" s="82"/>
      <c r="J14" s="82"/>
      <c r="K14" s="82"/>
      <c r="L14" s="82"/>
      <c r="M14" s="83"/>
      <c r="N14" s="58" t="s">
        <v>104</v>
      </c>
      <c r="O14" s="46"/>
      <c r="P14" s="46"/>
      <c r="Q14" s="46"/>
      <c r="R14" s="46"/>
      <c r="S14" s="46"/>
      <c r="T14" s="46"/>
      <c r="U14" s="46"/>
      <c r="V14" s="46"/>
    </row>
    <row r="15" spans="2:22" ht="15.95" customHeight="1" x14ac:dyDescent="0.25">
      <c r="B15" s="120" t="s">
        <v>177</v>
      </c>
      <c r="C15" s="8">
        <v>1.8</v>
      </c>
      <c r="D15" s="156" t="s">
        <v>90</v>
      </c>
      <c r="E15" s="85"/>
      <c r="F15" s="85"/>
      <c r="G15" s="85"/>
      <c r="H15" s="85"/>
      <c r="I15" s="85"/>
      <c r="J15" s="85"/>
      <c r="K15" s="85"/>
      <c r="L15" s="85"/>
      <c r="M15" s="86"/>
      <c r="N15" s="46"/>
      <c r="O15" s="46"/>
      <c r="P15" s="46"/>
      <c r="Q15" s="46"/>
      <c r="R15" s="46"/>
      <c r="S15" s="46"/>
      <c r="T15" s="46"/>
      <c r="U15" s="46"/>
      <c r="V15" s="46"/>
    </row>
    <row r="16" spans="2:22" ht="15.95" customHeight="1" x14ac:dyDescent="0.25">
      <c r="B16" s="137" t="s">
        <v>178</v>
      </c>
      <c r="C16" s="75">
        <v>0.25</v>
      </c>
      <c r="D16" s="74" t="s">
        <v>124</v>
      </c>
      <c r="E16" s="19"/>
      <c r="F16" s="19"/>
      <c r="G16" s="19"/>
      <c r="H16" s="19"/>
      <c r="I16" s="19"/>
      <c r="J16" s="19"/>
      <c r="K16" s="19"/>
      <c r="L16" s="19"/>
      <c r="M16" s="20"/>
      <c r="N16" s="63" t="s">
        <v>87</v>
      </c>
      <c r="O16" s="46"/>
      <c r="P16" s="46"/>
      <c r="Q16" s="46"/>
      <c r="R16" s="46"/>
      <c r="S16" s="46"/>
      <c r="T16" s="46"/>
      <c r="U16" s="46"/>
      <c r="V16" s="46"/>
    </row>
    <row r="17" spans="2:22" ht="15.95" customHeight="1" x14ac:dyDescent="0.25">
      <c r="B17" s="122" t="s">
        <v>1</v>
      </c>
      <c r="C17" s="8">
        <v>1.85</v>
      </c>
      <c r="D17" s="56" t="s">
        <v>126</v>
      </c>
      <c r="E17" s="19"/>
      <c r="F17" s="19"/>
      <c r="G17" s="19"/>
      <c r="H17" s="19"/>
      <c r="I17" s="19"/>
      <c r="J17" s="19"/>
      <c r="K17" s="19"/>
      <c r="L17" s="19"/>
      <c r="M17" s="20"/>
      <c r="N17" s="63" t="s">
        <v>119</v>
      </c>
      <c r="O17" s="46"/>
      <c r="P17" s="46"/>
      <c r="Q17" s="46"/>
      <c r="R17" s="46"/>
      <c r="S17" s="46"/>
      <c r="T17" s="46"/>
      <c r="U17" s="46"/>
      <c r="V17" s="46"/>
    </row>
    <row r="18" spans="2:22" ht="15.95" customHeight="1" x14ac:dyDescent="0.25">
      <c r="B18" s="122" t="s">
        <v>0</v>
      </c>
      <c r="C18" s="8">
        <v>0</v>
      </c>
      <c r="D18" s="56" t="s">
        <v>28</v>
      </c>
      <c r="E18" s="19"/>
      <c r="F18" s="19"/>
      <c r="G18" s="19"/>
      <c r="H18" s="19"/>
      <c r="I18" s="19"/>
      <c r="J18" s="19"/>
      <c r="K18" s="19"/>
      <c r="L18" s="19"/>
      <c r="M18" s="20"/>
      <c r="N18" s="63" t="s">
        <v>115</v>
      </c>
      <c r="O18" s="46"/>
      <c r="P18" s="46"/>
      <c r="Q18" s="46"/>
      <c r="R18" s="46"/>
      <c r="S18" s="46"/>
      <c r="T18" s="46"/>
      <c r="U18" s="46"/>
      <c r="V18" s="46"/>
    </row>
    <row r="19" spans="2:22" ht="15.95" customHeight="1" x14ac:dyDescent="0.3">
      <c r="B19" s="122" t="s">
        <v>170</v>
      </c>
      <c r="C19" s="8">
        <v>1.2</v>
      </c>
      <c r="D19" s="51" t="s">
        <v>219</v>
      </c>
      <c r="E19" s="19"/>
      <c r="F19" s="19"/>
      <c r="G19" s="19"/>
      <c r="H19" s="19"/>
      <c r="I19" s="19"/>
      <c r="J19" s="19"/>
      <c r="K19" s="19"/>
      <c r="L19" s="19"/>
      <c r="M19" s="20"/>
      <c r="N19" s="63" t="s">
        <v>116</v>
      </c>
      <c r="O19" s="46"/>
      <c r="P19" s="46"/>
      <c r="Q19" s="46"/>
      <c r="R19" s="46"/>
      <c r="S19" s="46"/>
      <c r="T19" s="46"/>
      <c r="U19" s="46"/>
      <c r="V19" s="46"/>
    </row>
    <row r="20" spans="2:22" ht="15.95" customHeight="1" x14ac:dyDescent="0.35">
      <c r="B20" s="122" t="s">
        <v>171</v>
      </c>
      <c r="C20" s="12">
        <v>3</v>
      </c>
      <c r="D20" s="51" t="s">
        <v>56</v>
      </c>
      <c r="E20" s="19"/>
      <c r="F20" s="19"/>
      <c r="G20" s="28" t="s">
        <v>93</v>
      </c>
      <c r="H20" s="106">
        <f>C20-C19*(I7-1)</f>
        <v>3</v>
      </c>
      <c r="I20" s="29" t="s">
        <v>94</v>
      </c>
      <c r="J20" s="19"/>
      <c r="K20" s="19"/>
      <c r="L20" s="19"/>
      <c r="M20" s="20"/>
      <c r="N20" s="63" t="s">
        <v>117</v>
      </c>
      <c r="O20" s="46"/>
      <c r="P20" s="46"/>
      <c r="Q20" s="46"/>
      <c r="R20" s="46"/>
      <c r="S20" s="46"/>
      <c r="T20" s="46"/>
      <c r="U20" s="46"/>
      <c r="V20" s="46"/>
    </row>
    <row r="21" spans="2:22" ht="15.95" customHeight="1" thickBot="1" x14ac:dyDescent="0.35">
      <c r="B21" s="129" t="s">
        <v>172</v>
      </c>
      <c r="C21" s="107">
        <v>1</v>
      </c>
      <c r="D21" s="108" t="s">
        <v>147</v>
      </c>
      <c r="E21" s="109"/>
      <c r="F21" s="109"/>
      <c r="G21" s="109"/>
      <c r="H21" s="109"/>
      <c r="I21" s="109"/>
      <c r="J21" s="109"/>
      <c r="K21" s="109"/>
      <c r="L21" s="109"/>
      <c r="M21" s="110"/>
      <c r="N21" s="63" t="s">
        <v>109</v>
      </c>
      <c r="O21" s="46"/>
      <c r="P21" s="46"/>
      <c r="Q21" s="46"/>
      <c r="R21" s="46"/>
      <c r="S21" s="46"/>
      <c r="T21" s="46"/>
      <c r="U21" s="46"/>
      <c r="V21" s="46"/>
    </row>
    <row r="22" spans="2:22" ht="15.95" customHeight="1" thickBot="1" x14ac:dyDescent="0.3">
      <c r="B22" s="234" t="s">
        <v>43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6"/>
      <c r="N22" s="63" t="s">
        <v>110</v>
      </c>
      <c r="O22" s="46"/>
      <c r="P22" s="46"/>
      <c r="Q22" s="46"/>
      <c r="R22" s="46"/>
      <c r="S22" s="46"/>
      <c r="T22" s="46"/>
      <c r="U22" s="46"/>
      <c r="V22" s="46"/>
    </row>
    <row r="23" spans="2:22" ht="15.95" customHeight="1" x14ac:dyDescent="0.35">
      <c r="B23" s="24" t="s">
        <v>44</v>
      </c>
      <c r="C23" s="71">
        <v>0</v>
      </c>
      <c r="D23" s="51" t="s">
        <v>49</v>
      </c>
      <c r="E23" s="16"/>
      <c r="F23" s="16"/>
      <c r="G23" s="16"/>
      <c r="H23" s="142"/>
      <c r="I23" s="16"/>
      <c r="J23" s="16"/>
      <c r="K23" s="16"/>
      <c r="L23" s="16"/>
      <c r="M23" s="17"/>
      <c r="N23" s="64" t="s">
        <v>111</v>
      </c>
      <c r="O23" s="46"/>
      <c r="P23" s="46"/>
      <c r="Q23" s="46"/>
      <c r="R23" s="46"/>
      <c r="S23" s="46"/>
      <c r="T23" s="46"/>
      <c r="U23" s="46"/>
      <c r="V23" s="46"/>
    </row>
    <row r="24" spans="2:22" ht="15.95" customHeight="1" x14ac:dyDescent="0.35">
      <c r="B24" s="27" t="s">
        <v>45</v>
      </c>
      <c r="C24" s="8">
        <v>0</v>
      </c>
      <c r="D24" s="51" t="s">
        <v>48</v>
      </c>
      <c r="E24" s="19"/>
      <c r="F24" s="19"/>
      <c r="G24" s="19"/>
      <c r="H24" s="19"/>
      <c r="I24" s="19"/>
      <c r="J24" s="19"/>
      <c r="K24" s="19"/>
      <c r="L24" s="19"/>
      <c r="M24" s="20"/>
      <c r="N24" s="64" t="s">
        <v>112</v>
      </c>
      <c r="O24" s="46"/>
      <c r="P24" s="46"/>
      <c r="Q24" s="46"/>
      <c r="R24" s="46"/>
      <c r="S24" s="46"/>
      <c r="T24" s="46"/>
      <c r="U24" s="46"/>
      <c r="V24" s="46"/>
    </row>
    <row r="25" spans="2:22" ht="15.95" customHeight="1" thickBot="1" x14ac:dyDescent="0.4">
      <c r="B25" s="26" t="s">
        <v>46</v>
      </c>
      <c r="C25" s="69">
        <v>0</v>
      </c>
      <c r="D25" s="51" t="s">
        <v>47</v>
      </c>
      <c r="E25" s="22"/>
      <c r="F25" s="22"/>
      <c r="G25" s="22"/>
      <c r="H25" s="22"/>
      <c r="I25" s="22"/>
      <c r="J25" s="22"/>
      <c r="K25" s="22"/>
      <c r="L25" s="22"/>
      <c r="M25" s="23"/>
      <c r="N25" s="63"/>
      <c r="O25" s="46"/>
      <c r="P25" s="46"/>
      <c r="Q25" s="46"/>
      <c r="R25" s="46"/>
      <c r="S25" s="46"/>
      <c r="T25" s="46"/>
      <c r="U25" s="46"/>
      <c r="V25" s="46"/>
    </row>
    <row r="26" spans="2:22" ht="15.95" customHeight="1" thickBot="1" x14ac:dyDescent="0.3">
      <c r="B26" s="234" t="s">
        <v>192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N26" s="63"/>
      <c r="O26" s="46"/>
      <c r="P26" s="46"/>
      <c r="Q26" s="46"/>
      <c r="R26" s="46"/>
      <c r="S26" s="46"/>
      <c r="T26" s="46"/>
      <c r="U26" s="46"/>
      <c r="V26" s="46"/>
    </row>
    <row r="27" spans="2:22" ht="15.95" customHeight="1" x14ac:dyDescent="0.25">
      <c r="B27" s="139" t="s">
        <v>189</v>
      </c>
      <c r="C27" s="8">
        <v>3</v>
      </c>
      <c r="D27" s="51" t="s">
        <v>54</v>
      </c>
      <c r="E27" s="19"/>
      <c r="F27" s="19"/>
      <c r="G27" s="19"/>
      <c r="H27" s="19"/>
      <c r="I27" s="19"/>
      <c r="J27" s="19"/>
      <c r="K27" s="19"/>
      <c r="L27" s="19"/>
      <c r="M27" s="20"/>
      <c r="N27" s="63"/>
      <c r="O27" s="46"/>
      <c r="P27" s="46"/>
      <c r="Q27" s="46"/>
      <c r="R27" s="46"/>
      <c r="S27" s="46"/>
      <c r="T27" s="46"/>
      <c r="U27" s="46"/>
      <c r="V27" s="46"/>
    </row>
    <row r="28" spans="2:22" ht="15.95" customHeight="1" x14ac:dyDescent="0.25">
      <c r="B28" s="139" t="s">
        <v>190</v>
      </c>
      <c r="C28" s="8">
        <v>2.5</v>
      </c>
      <c r="D28" s="51" t="s">
        <v>55</v>
      </c>
      <c r="E28" s="19"/>
      <c r="F28" s="19"/>
      <c r="G28" s="19"/>
      <c r="H28" s="19"/>
      <c r="I28" s="19"/>
      <c r="J28" s="19"/>
      <c r="K28" s="19"/>
      <c r="L28" s="19"/>
      <c r="M28" s="20"/>
      <c r="N28" s="63"/>
      <c r="O28" s="46"/>
      <c r="P28" s="46"/>
      <c r="Q28" s="46"/>
      <c r="R28" s="46"/>
      <c r="S28" s="46"/>
      <c r="T28" s="46"/>
      <c r="U28" s="46"/>
      <c r="V28" s="46"/>
    </row>
    <row r="29" spans="2:22" ht="15.95" customHeight="1" x14ac:dyDescent="0.25">
      <c r="B29" s="140" t="s">
        <v>191</v>
      </c>
      <c r="C29" s="8">
        <v>0</v>
      </c>
      <c r="D29" s="51" t="s">
        <v>218</v>
      </c>
      <c r="E29" s="19"/>
      <c r="F29" s="19"/>
      <c r="G29" s="19"/>
      <c r="H29" s="19"/>
      <c r="I29" s="19"/>
      <c r="J29" s="19"/>
      <c r="K29" s="19"/>
      <c r="L29" s="19"/>
      <c r="M29" s="20"/>
      <c r="N29" s="63"/>
      <c r="O29" s="46"/>
      <c r="P29" s="46"/>
      <c r="Q29" s="46"/>
      <c r="R29" s="46"/>
      <c r="S29" s="46"/>
      <c r="T29" s="46"/>
      <c r="U29" s="46"/>
      <c r="V29" s="46"/>
    </row>
    <row r="30" spans="2:22" ht="15.95" customHeight="1" thickBot="1" x14ac:dyDescent="0.3">
      <c r="B30" s="172" t="s">
        <v>188</v>
      </c>
      <c r="C30" s="141">
        <v>0.28999999999999998</v>
      </c>
      <c r="D30" s="52" t="s">
        <v>84</v>
      </c>
      <c r="E30" s="22"/>
      <c r="F30" s="22"/>
      <c r="G30" s="22"/>
      <c r="H30" s="22"/>
      <c r="I30" s="22"/>
      <c r="J30" s="22"/>
      <c r="K30" s="22"/>
      <c r="L30" s="22"/>
      <c r="M30" s="23"/>
      <c r="N30" s="63"/>
      <c r="O30" s="46"/>
      <c r="P30" s="46"/>
      <c r="Q30" s="46"/>
      <c r="R30" s="46"/>
      <c r="S30" s="46"/>
      <c r="T30" s="46"/>
      <c r="U30" s="46"/>
      <c r="V30" s="46"/>
    </row>
    <row r="31" spans="2:22" ht="15.95" customHeight="1" thickBot="1" x14ac:dyDescent="0.3">
      <c r="B31" s="250" t="s">
        <v>120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46"/>
      <c r="P31" s="46"/>
      <c r="Q31" s="46"/>
      <c r="R31" s="46"/>
      <c r="S31" s="46"/>
      <c r="T31" s="46"/>
      <c r="U31" s="46"/>
      <c r="V31" s="46"/>
    </row>
    <row r="32" spans="2:22" ht="15.95" customHeight="1" x14ac:dyDescent="0.3">
      <c r="B32" s="122" t="s">
        <v>180</v>
      </c>
      <c r="C32" s="70">
        <v>19</v>
      </c>
      <c r="D32" s="56" t="s">
        <v>183</v>
      </c>
      <c r="E32" s="19"/>
      <c r="F32" s="19"/>
      <c r="G32" s="19"/>
      <c r="H32" s="19"/>
      <c r="I32" s="19"/>
      <c r="J32" s="19"/>
      <c r="K32" s="19"/>
      <c r="L32" s="19"/>
      <c r="M32" s="20"/>
      <c r="O32" s="46"/>
      <c r="P32" s="46"/>
      <c r="Q32" s="46"/>
      <c r="R32" s="46"/>
      <c r="S32" s="46"/>
      <c r="T32" s="46"/>
      <c r="U32" s="46"/>
      <c r="V32" s="46"/>
    </row>
    <row r="33" spans="2:22" ht="15.95" customHeight="1" thickBot="1" x14ac:dyDescent="0.35">
      <c r="B33" s="127" t="s">
        <v>181</v>
      </c>
      <c r="C33" s="69">
        <v>0.26</v>
      </c>
      <c r="D33" s="53" t="s">
        <v>182</v>
      </c>
      <c r="E33" s="22"/>
      <c r="F33" s="22"/>
      <c r="G33" s="22"/>
      <c r="H33" s="22"/>
      <c r="I33" s="22"/>
      <c r="J33" s="22"/>
      <c r="K33" s="22"/>
      <c r="L33" s="22"/>
      <c r="M33" s="23"/>
      <c r="O33" s="46"/>
      <c r="P33" s="46"/>
      <c r="Q33" s="46"/>
      <c r="R33" s="46"/>
      <c r="S33" s="46"/>
      <c r="T33" s="46"/>
      <c r="U33" s="46"/>
      <c r="V33" s="46"/>
    </row>
    <row r="34" spans="2:22" ht="15.95" customHeight="1" thickBot="1" x14ac:dyDescent="0.3">
      <c r="B34" s="202" t="s">
        <v>50</v>
      </c>
      <c r="C34" s="203">
        <v>9.2200000000000006</v>
      </c>
      <c r="D34" s="204" t="s">
        <v>58</v>
      </c>
      <c r="E34" s="205"/>
      <c r="F34" s="205"/>
      <c r="G34" s="205"/>
      <c r="H34" s="205"/>
      <c r="I34" s="205"/>
      <c r="J34" s="205"/>
      <c r="K34" s="205"/>
      <c r="L34" s="205"/>
      <c r="M34" s="206"/>
      <c r="N34" s="64"/>
      <c r="O34" s="46"/>
      <c r="P34" s="46"/>
      <c r="Q34" s="46"/>
      <c r="R34" s="46"/>
      <c r="S34" s="46"/>
      <c r="T34" s="46"/>
      <c r="U34" s="46"/>
      <c r="V34" s="46"/>
    </row>
    <row r="35" spans="2:22" ht="15.95" customHeight="1" thickBot="1" x14ac:dyDescent="0.3">
      <c r="B35" s="56" t="s">
        <v>131</v>
      </c>
      <c r="C35" s="76"/>
      <c r="D35" s="13"/>
      <c r="E35" s="19"/>
      <c r="F35" s="19"/>
      <c r="G35" s="19"/>
      <c r="H35" s="19"/>
      <c r="I35" s="19"/>
      <c r="J35" s="19"/>
      <c r="K35" s="19"/>
      <c r="L35" s="19"/>
      <c r="M35" s="19"/>
      <c r="N35" s="64"/>
      <c r="O35" s="46"/>
      <c r="P35" s="46"/>
      <c r="Q35" s="46"/>
      <c r="R35" s="46"/>
      <c r="S35" s="46"/>
      <c r="T35" s="46"/>
      <c r="U35" s="46"/>
      <c r="V35" s="46"/>
    </row>
    <row r="36" spans="2:22" ht="15.95" customHeight="1" thickBot="1" x14ac:dyDescent="0.35">
      <c r="B36" s="258" t="s">
        <v>204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</row>
    <row r="37" spans="2:22" ht="15.95" customHeight="1" x14ac:dyDescent="0.25">
      <c r="B37" s="146" t="s">
        <v>203</v>
      </c>
      <c r="C37" s="147"/>
      <c r="D37" s="54"/>
      <c r="E37" s="54"/>
      <c r="F37" s="54"/>
      <c r="G37" s="151" t="s">
        <v>208</v>
      </c>
      <c r="H37" s="151" t="s">
        <v>206</v>
      </c>
      <c r="I37" s="153" t="s">
        <v>212</v>
      </c>
      <c r="J37" s="153" t="s">
        <v>207</v>
      </c>
      <c r="K37" s="54"/>
      <c r="L37" s="54"/>
      <c r="M37" s="55"/>
    </row>
    <row r="38" spans="2:22" ht="15.95" customHeight="1" thickBot="1" x14ac:dyDescent="0.35">
      <c r="B38" s="148"/>
      <c r="C38" s="22"/>
      <c r="D38" s="22"/>
      <c r="E38" s="22"/>
      <c r="F38" s="22"/>
      <c r="G38" s="152" t="str">
        <f>IF(C11&gt;=1.5,"Выполнено","НЕ выполнено")</f>
        <v>Выполнено</v>
      </c>
      <c r="H38" s="152" t="str">
        <f>IF(C11/C13&lt;=8,"Выполнено","НЕ выполнено")</f>
        <v>Выполнено</v>
      </c>
      <c r="I38" s="154" t="str">
        <f>IF(C11/SQRT(C14*C15)&lt;=3,"Выполнено","НЕ выполнено")</f>
        <v>Выполнено</v>
      </c>
      <c r="J38" s="154" t="str">
        <f>IF(C16/C11&lt;=0.125,"Выполнено","НЕ выполнено")</f>
        <v>Выполнено</v>
      </c>
      <c r="K38" s="44"/>
      <c r="L38" s="22"/>
      <c r="M38" s="23"/>
    </row>
    <row r="39" spans="2:22" ht="15.95" customHeight="1" thickBot="1" x14ac:dyDescent="0.35">
      <c r="B39" s="253" t="s">
        <v>213</v>
      </c>
      <c r="C39" s="254"/>
      <c r="D39" s="254"/>
      <c r="E39" s="254"/>
      <c r="F39" s="254"/>
      <c r="G39" s="255"/>
      <c r="H39" s="253" t="s">
        <v>217</v>
      </c>
      <c r="I39" s="254"/>
      <c r="J39" s="254"/>
      <c r="K39" s="254"/>
      <c r="L39" s="254"/>
      <c r="M39" s="255"/>
    </row>
    <row r="40" spans="2:22" ht="15.95" customHeight="1" thickBot="1" x14ac:dyDescent="0.3">
      <c r="B40" s="164" t="s">
        <v>214</v>
      </c>
      <c r="C40" s="165"/>
      <c r="D40" s="22"/>
      <c r="E40" s="22"/>
      <c r="F40" s="22"/>
      <c r="G40" s="167"/>
      <c r="H40" s="164" t="s">
        <v>214</v>
      </c>
      <c r="I40" s="165"/>
      <c r="J40" s="22"/>
      <c r="K40" s="22"/>
      <c r="L40" s="22"/>
      <c r="M40" s="167"/>
    </row>
    <row r="41" spans="2:22" ht="15.95" customHeight="1" x14ac:dyDescent="0.35">
      <c r="B41" s="162" t="s">
        <v>222</v>
      </c>
      <c r="C41" s="198">
        <f>((C55*C11*(2*C11-C70)/6+C15*C59/(C11-C70))*C79+C67*(C11-C25))/C12</f>
        <v>2.4281066394099904</v>
      </c>
      <c r="D41" s="29" t="s">
        <v>83</v>
      </c>
      <c r="E41" s="19"/>
      <c r="F41" s="19"/>
      <c r="G41" s="168"/>
      <c r="H41" s="196" t="s">
        <v>220</v>
      </c>
      <c r="I41" s="197">
        <f>C30+C29/C12-C27*TAN(C18/180*PI())</f>
        <v>0.28999999999999998</v>
      </c>
      <c r="J41" s="29" t="s">
        <v>83</v>
      </c>
      <c r="K41" s="36"/>
      <c r="L41" s="19"/>
      <c r="M41" s="20"/>
    </row>
    <row r="42" spans="2:22" ht="15.95" customHeight="1" thickBot="1" x14ac:dyDescent="0.4">
      <c r="B42" s="163" t="s">
        <v>223</v>
      </c>
      <c r="C42" s="199">
        <f>((C55*C11*(2*C11-C71)*(C11-C71)/(6*C15)+C59)*C68+C67*(C11-C25))/C12</f>
        <v>2.5826083597693614</v>
      </c>
      <c r="D42" s="31" t="s">
        <v>83</v>
      </c>
      <c r="E42" s="22"/>
      <c r="F42" s="22"/>
      <c r="G42" s="167"/>
      <c r="H42" s="149"/>
      <c r="I42" s="149"/>
      <c r="J42" s="149"/>
      <c r="K42" s="36"/>
      <c r="L42" s="19"/>
      <c r="M42" s="20"/>
    </row>
    <row r="43" spans="2:22" ht="15.95" customHeight="1" thickBot="1" x14ac:dyDescent="0.3">
      <c r="B43" s="164" t="s">
        <v>215</v>
      </c>
      <c r="C43" s="165"/>
      <c r="D43" s="22"/>
      <c r="E43" s="22"/>
      <c r="F43" s="22"/>
      <c r="G43" s="167"/>
      <c r="H43" s="150" t="s">
        <v>215</v>
      </c>
      <c r="I43" s="161"/>
      <c r="J43" s="99"/>
      <c r="K43" s="99"/>
      <c r="L43" s="99"/>
      <c r="M43" s="166"/>
    </row>
    <row r="44" spans="2:22" ht="15.95" customHeight="1" x14ac:dyDescent="0.35">
      <c r="B44" s="162" t="s">
        <v>224</v>
      </c>
      <c r="C44" s="198">
        <f>((C55*C11*(2*C11-C70)/6+C15*C60/(2*(C11-C70)))*C79+C67*(C11-C25))/C12</f>
        <v>1.5190169062634373</v>
      </c>
      <c r="D44" s="29" t="s">
        <v>83</v>
      </c>
      <c r="E44" s="19"/>
      <c r="F44" s="19"/>
      <c r="G44" s="168"/>
      <c r="H44" s="196" t="s">
        <v>221</v>
      </c>
      <c r="I44" s="197">
        <f>C30+C29/C12-C28*TAN(C18/180*PI())</f>
        <v>0.28999999999999998</v>
      </c>
      <c r="J44" s="29" t="s">
        <v>83</v>
      </c>
      <c r="K44" s="54"/>
      <c r="L44" s="16"/>
      <c r="M44" s="17"/>
    </row>
    <row r="45" spans="2:22" ht="15.95" customHeight="1" thickBot="1" x14ac:dyDescent="0.4">
      <c r="B45" s="163" t="s">
        <v>225</v>
      </c>
      <c r="C45" s="199">
        <f>((C55*C11*(2*C11-C72)*(C11-C72)/(6*C15)+C60)*C69+C67*(C11-C25))/C12</f>
        <v>1.9464622740785094</v>
      </c>
      <c r="D45" s="31" t="s">
        <v>83</v>
      </c>
      <c r="E45" s="22"/>
      <c r="F45" s="22"/>
      <c r="G45" s="167"/>
      <c r="H45" s="169"/>
      <c r="I45" s="160"/>
      <c r="J45" s="160"/>
      <c r="K45" s="44"/>
      <c r="L45" s="22"/>
      <c r="M45" s="23"/>
    </row>
    <row r="46" spans="2:22" ht="18.75" customHeight="1" thickBot="1" x14ac:dyDescent="0.4">
      <c r="B46" s="33" t="s">
        <v>226</v>
      </c>
      <c r="C46" s="171">
        <f>MIN(C44:C45,C41:C42)</f>
        <v>1.5190169062634373</v>
      </c>
      <c r="D46" s="29" t="s">
        <v>216</v>
      </c>
      <c r="E46" s="149"/>
      <c r="F46" s="145"/>
      <c r="G46" s="168"/>
      <c r="H46" s="145"/>
      <c r="I46" s="149"/>
      <c r="J46" s="145"/>
      <c r="K46" s="36"/>
      <c r="L46" s="19"/>
      <c r="M46" s="20"/>
    </row>
    <row r="47" spans="2:22" ht="15.95" customHeight="1" x14ac:dyDescent="0.35">
      <c r="B47" s="14" t="s">
        <v>32</v>
      </c>
      <c r="C47" s="15">
        <f>IF(C17&gt;=5,1.2,IF(C17&lt;=1.5,0.8,IF(C17&lt;2.5,0.8+(C17-1.5)*0.2,1+(C17-2.5)/2.5*0.2)))</f>
        <v>0.87000000000000011</v>
      </c>
      <c r="D47" s="72" t="s">
        <v>100</v>
      </c>
      <c r="E47" s="16"/>
      <c r="F47" s="16"/>
      <c r="G47" s="16"/>
      <c r="H47" s="16"/>
      <c r="I47" s="16"/>
      <c r="J47" s="16"/>
      <c r="K47" s="16"/>
      <c r="L47" s="16"/>
      <c r="M47" s="17"/>
    </row>
    <row r="48" spans="2:22" ht="15.95" customHeight="1" x14ac:dyDescent="0.35">
      <c r="B48" s="18" t="s">
        <v>33</v>
      </c>
      <c r="C48" s="42">
        <f>IF(I4=1,1,1.2)</f>
        <v>1</v>
      </c>
      <c r="D48" s="56" t="s">
        <v>101</v>
      </c>
      <c r="E48" s="19"/>
      <c r="F48" s="19"/>
      <c r="G48" s="19"/>
      <c r="H48" s="19"/>
      <c r="I48" s="19"/>
      <c r="J48" s="19"/>
      <c r="K48" s="19"/>
      <c r="L48" s="19"/>
      <c r="M48" s="20"/>
    </row>
    <row r="49" spans="2:28" ht="15.95" customHeight="1" x14ac:dyDescent="0.35">
      <c r="B49" s="18" t="s">
        <v>34</v>
      </c>
      <c r="C49" s="42">
        <f>IF(I5=1,1,IF(I5=7,0.7,0.8))</f>
        <v>1</v>
      </c>
      <c r="D49" s="56" t="s">
        <v>102</v>
      </c>
      <c r="E49" s="19"/>
      <c r="F49" s="19"/>
      <c r="G49" s="19"/>
      <c r="H49" s="19"/>
      <c r="I49" s="19"/>
      <c r="J49" s="19"/>
      <c r="K49" s="19"/>
      <c r="L49" s="19"/>
      <c r="M49" s="20"/>
    </row>
    <row r="50" spans="2:28" ht="15.95" customHeight="1" x14ac:dyDescent="0.35">
      <c r="B50" s="18" t="s">
        <v>35</v>
      </c>
      <c r="C50" s="42">
        <f>IF(I6=1,1,1.15)</f>
        <v>1</v>
      </c>
      <c r="D50" s="56" t="s">
        <v>103</v>
      </c>
      <c r="E50" s="19"/>
      <c r="F50" s="19"/>
      <c r="G50" s="19"/>
      <c r="H50" s="19"/>
      <c r="I50" s="19"/>
      <c r="J50" s="19"/>
      <c r="K50" s="19"/>
      <c r="L50" s="19"/>
      <c r="M50" s="20"/>
    </row>
    <row r="51" spans="2:28" ht="15.95" customHeight="1" x14ac:dyDescent="0.35">
      <c r="B51" s="21" t="s">
        <v>36</v>
      </c>
      <c r="C51" s="42">
        <f>C47*C48*C49*C50</f>
        <v>0.87000000000000011</v>
      </c>
      <c r="D51" s="56" t="s">
        <v>99</v>
      </c>
      <c r="E51" s="19"/>
      <c r="F51" s="19"/>
      <c r="G51" s="19"/>
      <c r="H51" s="19"/>
      <c r="I51" s="19"/>
      <c r="J51" s="19"/>
      <c r="K51" s="19"/>
      <c r="L51" s="19"/>
      <c r="M51" s="20"/>
    </row>
    <row r="52" spans="2:28" ht="15.95" customHeight="1" x14ac:dyDescent="0.25">
      <c r="B52" s="27" t="s">
        <v>65</v>
      </c>
      <c r="C52" s="32">
        <f>ATAN(TAN(C76/180*PI())+C77/10)</f>
        <v>0.27735610969651814</v>
      </c>
      <c r="D52" s="56"/>
      <c r="E52" s="19"/>
      <c r="F52" s="19"/>
      <c r="G52" s="19"/>
      <c r="H52" s="19"/>
      <c r="I52" s="19"/>
      <c r="J52" s="19"/>
      <c r="K52" s="19"/>
      <c r="L52" s="19"/>
      <c r="M52" s="20"/>
    </row>
    <row r="53" spans="2:28" ht="15.95" customHeight="1" x14ac:dyDescent="0.35">
      <c r="B53" s="27" t="s">
        <v>66</v>
      </c>
      <c r="C53" s="32">
        <f>2*TAN(C52/5)/(3*TAN(PI()/4-C52/2))</f>
        <v>4.9028793221445106E-2</v>
      </c>
      <c r="D53" s="56" t="s">
        <v>194</v>
      </c>
      <c r="E53" s="19"/>
      <c r="F53" s="19"/>
      <c r="G53" s="19"/>
      <c r="H53" s="19"/>
      <c r="I53" s="19"/>
      <c r="J53" s="19"/>
      <c r="K53" s="19"/>
      <c r="L53" s="19"/>
      <c r="M53" s="20"/>
    </row>
    <row r="54" spans="2:28" ht="15.95" customHeight="1" x14ac:dyDescent="0.35">
      <c r="B54" s="27" t="s">
        <v>67</v>
      </c>
      <c r="C54" s="32">
        <f>1+C53*C11/C13</f>
        <v>1.217905747650867</v>
      </c>
      <c r="D54" s="56" t="s">
        <v>194</v>
      </c>
      <c r="E54" s="19"/>
      <c r="F54" s="19"/>
      <c r="G54" s="19"/>
      <c r="H54" s="19"/>
      <c r="I54" s="19"/>
      <c r="J54" s="19"/>
      <c r="K54" s="19"/>
      <c r="L54" s="19"/>
      <c r="M54" s="20"/>
    </row>
    <row r="55" spans="2:28" ht="15.95" customHeight="1" x14ac:dyDescent="0.35">
      <c r="B55" s="27" t="s">
        <v>68</v>
      </c>
      <c r="C55" s="143">
        <f>C54*C13</f>
        <v>0.54805758644289015</v>
      </c>
      <c r="D55" s="56" t="s">
        <v>193</v>
      </c>
      <c r="E55" s="19"/>
      <c r="F55" s="19"/>
      <c r="G55" s="19"/>
      <c r="H55" s="19"/>
      <c r="I55" s="19"/>
      <c r="J55" s="19"/>
      <c r="K55" s="19"/>
      <c r="L55" s="19"/>
      <c r="M55" s="20"/>
    </row>
    <row r="56" spans="2:28" ht="15.95" customHeight="1" x14ac:dyDescent="0.3">
      <c r="B56" s="128" t="s">
        <v>197</v>
      </c>
      <c r="C56" s="87">
        <f>C14*C15*COS(C18/180*PI())</f>
        <v>3.24</v>
      </c>
      <c r="D56" s="56" t="s">
        <v>195</v>
      </c>
      <c r="E56" s="19"/>
      <c r="F56" s="19"/>
      <c r="G56" s="19"/>
      <c r="H56" s="19"/>
      <c r="I56" s="19"/>
      <c r="J56" s="19"/>
      <c r="K56" s="19"/>
      <c r="L56" s="19"/>
      <c r="M56" s="20"/>
    </row>
    <row r="57" spans="2:28" ht="15.95" customHeight="1" x14ac:dyDescent="0.25">
      <c r="B57" s="118" t="s">
        <v>70</v>
      </c>
      <c r="C57" s="7">
        <f>C14*C15</f>
        <v>3.24</v>
      </c>
      <c r="D57" s="56" t="s">
        <v>196</v>
      </c>
      <c r="E57" s="19"/>
      <c r="F57" s="19"/>
      <c r="G57" s="19"/>
      <c r="H57" s="19"/>
      <c r="I57" s="19"/>
      <c r="J57" s="19"/>
      <c r="K57" s="19"/>
      <c r="L57" s="19"/>
      <c r="M57" s="20"/>
    </row>
    <row r="58" spans="2:28" ht="15.95" customHeight="1" x14ac:dyDescent="0.25">
      <c r="B58" s="39" t="s">
        <v>30</v>
      </c>
      <c r="C58" s="87">
        <f>(C11-C16)/SQRT(C14*C15)</f>
        <v>0.97222222222222221</v>
      </c>
      <c r="D58" s="56" t="s">
        <v>129</v>
      </c>
      <c r="E58" s="19"/>
      <c r="F58" s="19"/>
      <c r="G58" s="19"/>
      <c r="H58" s="19"/>
      <c r="I58" s="19"/>
      <c r="J58" s="19"/>
      <c r="K58" s="19"/>
      <c r="L58" s="19"/>
      <c r="M58" s="20"/>
    </row>
    <row r="59" spans="2:28" ht="15.95" customHeight="1" x14ac:dyDescent="0.25">
      <c r="B59" s="158" t="s">
        <v>71</v>
      </c>
      <c r="C59" s="87">
        <f>C14*C14*C15/6</f>
        <v>0.97200000000000009</v>
      </c>
      <c r="D59" s="74" t="s">
        <v>198</v>
      </c>
      <c r="E59" s="19"/>
      <c r="F59" s="19"/>
      <c r="G59" s="19"/>
      <c r="H59" s="19"/>
      <c r="I59" s="19"/>
      <c r="J59" s="19"/>
      <c r="K59" s="19"/>
      <c r="L59" s="19"/>
      <c r="M59" s="20"/>
    </row>
    <row r="60" spans="2:28" ht="15.95" customHeight="1" x14ac:dyDescent="0.25">
      <c r="B60" s="158" t="s">
        <v>72</v>
      </c>
      <c r="C60" s="87">
        <f>C14*C14*C15/6</f>
        <v>0.97200000000000009</v>
      </c>
      <c r="D60" s="74" t="s">
        <v>199</v>
      </c>
      <c r="E60" s="19"/>
      <c r="F60" s="19"/>
      <c r="G60" s="19"/>
      <c r="H60" s="19"/>
      <c r="I60" s="19"/>
      <c r="J60" s="19"/>
      <c r="K60" s="19"/>
      <c r="L60" s="19"/>
      <c r="M60" s="20"/>
      <c r="N60" s="131"/>
    </row>
    <row r="61" spans="2:28" ht="15.95" customHeight="1" x14ac:dyDescent="0.35">
      <c r="B61" s="25" t="s">
        <v>77</v>
      </c>
      <c r="C61" s="32">
        <f>2*C77*TAN(PI()/4+C76*PI()/360)</f>
        <v>0.34006588314956593</v>
      </c>
      <c r="D61" s="56" t="s">
        <v>75</v>
      </c>
      <c r="E61" s="19"/>
      <c r="F61" s="19"/>
      <c r="G61" s="19"/>
      <c r="H61" s="19"/>
      <c r="I61" s="19"/>
      <c r="J61" s="19"/>
      <c r="K61" s="19"/>
      <c r="L61" s="19"/>
      <c r="M61" s="20"/>
      <c r="P61" s="257"/>
      <c r="Q61" s="257"/>
      <c r="R61" s="257"/>
      <c r="S61" s="257"/>
    </row>
    <row r="62" spans="2:28" ht="15.95" customHeight="1" x14ac:dyDescent="0.35">
      <c r="B62" s="25" t="s">
        <v>78</v>
      </c>
      <c r="C62" s="7">
        <f>C11*C75*(TAN(PI()/4+C76*PI()/360))^2</f>
        <v>5.816454683428999</v>
      </c>
      <c r="D62" s="56" t="s">
        <v>75</v>
      </c>
      <c r="E62" s="19"/>
      <c r="F62" s="19"/>
      <c r="G62" s="19"/>
      <c r="H62" s="19"/>
      <c r="I62" s="19"/>
      <c r="J62" s="19"/>
      <c r="K62" s="19"/>
      <c r="L62" s="19"/>
      <c r="M62" s="102"/>
      <c r="O62" s="66"/>
      <c r="P62" s="179"/>
      <c r="Q62" s="174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2:28" ht="15.95" customHeight="1" x14ac:dyDescent="0.35">
      <c r="B63" s="25" t="s">
        <v>79</v>
      </c>
      <c r="C63" s="7">
        <f>1.2*(C61+C62)</f>
        <v>7.3878246798942779</v>
      </c>
      <c r="D63" s="56" t="s">
        <v>200</v>
      </c>
      <c r="E63" s="19"/>
      <c r="F63" s="19"/>
      <c r="G63" s="19"/>
      <c r="H63" s="19"/>
      <c r="I63" s="19"/>
      <c r="J63" s="19"/>
      <c r="K63" s="19"/>
      <c r="L63" s="19"/>
      <c r="M63" s="102"/>
      <c r="O63" s="180"/>
      <c r="P63" s="179"/>
      <c r="Q63" s="181"/>
      <c r="R63" s="182"/>
      <c r="S63" s="182"/>
      <c r="T63" s="173"/>
      <c r="U63" s="256"/>
      <c r="V63" s="256"/>
      <c r="W63" s="256"/>
      <c r="X63" s="256"/>
      <c r="Y63" s="177"/>
      <c r="Z63" s="173"/>
      <c r="AA63" s="173"/>
      <c r="AB63" s="173"/>
    </row>
    <row r="64" spans="2:28" ht="15.95" customHeight="1" x14ac:dyDescent="0.35">
      <c r="B64" s="27" t="s">
        <v>53</v>
      </c>
      <c r="C64" s="7">
        <f>(C14*C15*C11-C19)*C75</f>
        <v>8.9760000000000009</v>
      </c>
      <c r="D64" s="56" t="s">
        <v>57</v>
      </c>
      <c r="E64" s="19"/>
      <c r="F64" s="19"/>
      <c r="G64" s="19"/>
      <c r="H64" s="19"/>
      <c r="I64" s="19"/>
      <c r="J64" s="19"/>
      <c r="K64" s="19"/>
      <c r="L64" s="19"/>
      <c r="M64" s="102"/>
      <c r="O64" s="11"/>
      <c r="P64" s="179"/>
      <c r="Q64" s="174"/>
      <c r="R64" s="173"/>
      <c r="S64" s="173"/>
      <c r="T64" s="183"/>
      <c r="U64" s="184"/>
      <c r="V64" s="174"/>
      <c r="W64" s="11"/>
      <c r="X64" s="185"/>
      <c r="Y64" s="174"/>
      <c r="Z64" s="173"/>
      <c r="AA64" s="173"/>
      <c r="AB64" s="173"/>
    </row>
    <row r="65" spans="2:28" ht="15.95" customHeight="1" x14ac:dyDescent="0.25">
      <c r="B65" s="158" t="s">
        <v>61</v>
      </c>
      <c r="C65" s="7">
        <f>IF(C23=0,0,(C23-C24)*(1+0.3/C23)*C24)</f>
        <v>0</v>
      </c>
      <c r="D65" s="56" t="s">
        <v>201</v>
      </c>
      <c r="E65" s="19"/>
      <c r="F65" s="19"/>
      <c r="G65" s="19"/>
      <c r="H65" s="19"/>
      <c r="I65" s="19"/>
      <c r="J65" s="19"/>
      <c r="K65" s="19"/>
      <c r="L65" s="19"/>
      <c r="M65" s="102"/>
      <c r="O65" s="66"/>
      <c r="P65" s="179"/>
      <c r="Q65" s="174"/>
      <c r="R65" s="173"/>
      <c r="S65" s="173"/>
      <c r="T65" s="136"/>
      <c r="U65" s="157"/>
      <c r="V65" s="174"/>
      <c r="W65" s="175"/>
      <c r="X65" s="186"/>
      <c r="Y65" s="187"/>
      <c r="Z65" s="173"/>
      <c r="AA65" s="173"/>
      <c r="AB65" s="173"/>
    </row>
    <row r="66" spans="2:28" ht="15.95" customHeight="1" x14ac:dyDescent="0.25">
      <c r="B66" s="158" t="s">
        <v>62</v>
      </c>
      <c r="C66" s="7">
        <f>IF(C25&gt;C70,C79*(C11-C72)/(C11-C70),C63*C25/C11)</f>
        <v>0</v>
      </c>
      <c r="D66" s="56" t="s">
        <v>202</v>
      </c>
      <c r="E66" s="19"/>
      <c r="F66" s="19"/>
      <c r="G66" s="19"/>
      <c r="H66" s="19"/>
      <c r="I66" s="19"/>
      <c r="J66" s="19"/>
      <c r="K66" s="19"/>
      <c r="L66" s="19"/>
      <c r="M66" s="20"/>
      <c r="O66" s="66"/>
      <c r="P66" s="179"/>
      <c r="Q66" s="174"/>
      <c r="R66" s="173"/>
      <c r="S66" s="173"/>
      <c r="T66" s="11"/>
      <c r="U66" s="185"/>
      <c r="V66" s="174"/>
      <c r="W66" s="173"/>
      <c r="X66" s="173"/>
      <c r="Y66" s="173"/>
      <c r="Z66" s="173"/>
      <c r="AA66" s="173"/>
      <c r="AB66" s="173"/>
    </row>
    <row r="67" spans="2:28" ht="15.95" customHeight="1" x14ac:dyDescent="0.25">
      <c r="B67" s="158" t="s">
        <v>60</v>
      </c>
      <c r="C67" s="34">
        <f>C65*C66</f>
        <v>0</v>
      </c>
      <c r="D67" s="56" t="s">
        <v>210</v>
      </c>
      <c r="E67" s="19"/>
      <c r="F67" s="19"/>
      <c r="G67" s="19"/>
      <c r="H67" s="19"/>
      <c r="I67" s="19"/>
      <c r="J67" s="19"/>
      <c r="K67" s="19"/>
      <c r="L67" s="19"/>
      <c r="M67" s="20"/>
      <c r="O67" s="11"/>
      <c r="P67" s="179"/>
      <c r="Q67" s="174"/>
      <c r="R67" s="173"/>
      <c r="S67" s="173"/>
      <c r="T67" s="11"/>
      <c r="U67" s="40"/>
      <c r="V67" s="174"/>
      <c r="W67" s="173"/>
      <c r="X67" s="173"/>
      <c r="Y67" s="173"/>
      <c r="Z67" s="173"/>
      <c r="AA67" s="173"/>
      <c r="AB67" s="173"/>
    </row>
    <row r="68" spans="2:28" ht="15.95" customHeight="1" x14ac:dyDescent="0.35">
      <c r="B68" s="25" t="s">
        <v>73</v>
      </c>
      <c r="C68" s="7">
        <f>1.2*C34-(C27+C64+C20)/C57</f>
        <v>6.4417777777777783</v>
      </c>
      <c r="D68" s="56" t="s">
        <v>227</v>
      </c>
      <c r="E68" s="19"/>
      <c r="F68" s="19"/>
      <c r="G68" s="19"/>
      <c r="H68" s="19"/>
      <c r="I68" s="19"/>
      <c r="J68" s="19"/>
      <c r="K68" s="19"/>
      <c r="L68" s="19"/>
      <c r="M68" s="20"/>
      <c r="O68" s="11"/>
      <c r="P68" s="179"/>
      <c r="Q68" s="174"/>
      <c r="R68" s="173"/>
      <c r="S68" s="173"/>
      <c r="T68" s="11"/>
      <c r="U68" s="176"/>
      <c r="V68" s="174"/>
      <c r="W68" s="173"/>
      <c r="X68" s="173"/>
      <c r="Y68" s="173"/>
      <c r="Z68" s="173"/>
      <c r="AA68" s="173"/>
      <c r="AB68" s="173"/>
    </row>
    <row r="69" spans="2:28" ht="15.95" customHeight="1" x14ac:dyDescent="0.35">
      <c r="B69" s="25" t="s">
        <v>74</v>
      </c>
      <c r="C69" s="104">
        <f>1.2*C51*C78-(C28-H20)/C56</f>
        <v>5.2293209876543214</v>
      </c>
      <c r="D69" s="56" t="s">
        <v>209</v>
      </c>
      <c r="E69" s="19"/>
      <c r="F69" s="19"/>
      <c r="G69" s="19"/>
      <c r="H69" s="19"/>
      <c r="I69" s="19"/>
      <c r="J69" s="19"/>
      <c r="K69" s="19"/>
      <c r="L69" s="19"/>
      <c r="M69" s="20"/>
      <c r="O69" s="11"/>
      <c r="P69" s="179"/>
      <c r="Q69" s="174"/>
      <c r="R69" s="173"/>
      <c r="S69" s="173"/>
      <c r="T69" s="11"/>
      <c r="U69" s="176"/>
      <c r="V69" s="174"/>
      <c r="W69" s="173"/>
      <c r="X69" s="173"/>
      <c r="Y69" s="173"/>
      <c r="Z69" s="173"/>
      <c r="AA69" s="173"/>
      <c r="AB69" s="173"/>
    </row>
    <row r="70" spans="2:28" ht="15.95" customHeight="1" x14ac:dyDescent="0.35">
      <c r="B70" s="27" t="s">
        <v>82</v>
      </c>
      <c r="C70" s="7">
        <f>C79*C11/C63</f>
        <v>0.94750488855674531</v>
      </c>
      <c r="D70" s="56" t="s">
        <v>211</v>
      </c>
      <c r="E70" s="19"/>
      <c r="F70" s="19"/>
      <c r="G70" s="19"/>
      <c r="H70" s="19"/>
      <c r="I70" s="19"/>
      <c r="J70" s="19"/>
      <c r="K70" s="19"/>
      <c r="L70" s="19"/>
      <c r="M70" s="20"/>
      <c r="O70" s="11"/>
      <c r="P70" s="179"/>
      <c r="Q70" s="174"/>
      <c r="R70" s="173"/>
      <c r="S70" s="173"/>
      <c r="T70" s="11"/>
      <c r="U70" s="176"/>
      <c r="V70" s="174"/>
      <c r="W70" s="173"/>
      <c r="X70" s="173"/>
      <c r="Y70" s="173"/>
      <c r="Z70" s="173"/>
      <c r="AA70" s="173"/>
      <c r="AB70" s="173"/>
    </row>
    <row r="71" spans="2:28" ht="15.95" customHeight="1" x14ac:dyDescent="0.35">
      <c r="B71" s="27" t="s">
        <v>80</v>
      </c>
      <c r="C71" s="7">
        <f>C68*C11*C11/(C15*C63+C11*C68)</f>
        <v>0.98416719240731865</v>
      </c>
      <c r="D71" s="56" t="s">
        <v>69</v>
      </c>
      <c r="E71" s="19"/>
      <c r="F71" s="19"/>
      <c r="G71" s="19"/>
      <c r="H71" s="19"/>
      <c r="I71" s="19"/>
      <c r="J71" s="19"/>
      <c r="K71" s="19"/>
      <c r="L71" s="19"/>
      <c r="M71" s="20"/>
      <c r="O71" s="11"/>
      <c r="P71" s="179"/>
      <c r="Q71" s="174"/>
      <c r="R71" s="173"/>
      <c r="S71" s="173"/>
      <c r="T71" s="11"/>
      <c r="U71" s="176"/>
      <c r="V71" s="174"/>
      <c r="W71" s="173"/>
      <c r="X71" s="173"/>
      <c r="Y71" s="173"/>
      <c r="Z71" s="173"/>
      <c r="AA71" s="173"/>
      <c r="AB71" s="173"/>
    </row>
    <row r="72" spans="2:28" ht="15.95" customHeight="1" thickBot="1" x14ac:dyDescent="0.4">
      <c r="B72" s="26" t="s">
        <v>81</v>
      </c>
      <c r="C72" s="30">
        <f>2*C69*C11*C11/(C15*C63+2*C11*C69)</f>
        <v>1.2226835451084102</v>
      </c>
      <c r="D72" s="53" t="s">
        <v>69</v>
      </c>
      <c r="E72" s="22"/>
      <c r="F72" s="22"/>
      <c r="G72" s="22"/>
      <c r="H72" s="22"/>
      <c r="I72" s="22"/>
      <c r="J72" s="22"/>
      <c r="K72" s="22"/>
      <c r="L72" s="22"/>
      <c r="M72" s="23"/>
      <c r="O72" s="11"/>
      <c r="P72" s="179"/>
      <c r="Q72" s="174"/>
      <c r="R72" s="173"/>
      <c r="S72" s="173"/>
      <c r="T72" s="11"/>
      <c r="U72" s="176"/>
      <c r="V72" s="174"/>
      <c r="W72" s="173"/>
      <c r="X72" s="173"/>
      <c r="Y72" s="173"/>
      <c r="Z72" s="173"/>
      <c r="AA72" s="173"/>
      <c r="AB72" s="173"/>
    </row>
    <row r="73" spans="2:28" ht="15.95" customHeight="1" thickBot="1" x14ac:dyDescent="0.3">
      <c r="B73" s="250" t="s">
        <v>132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2"/>
      <c r="O73" s="188"/>
      <c r="P73" s="179"/>
      <c r="Q73" s="173"/>
      <c r="R73" s="173"/>
      <c r="S73" s="173"/>
      <c r="T73" s="173"/>
      <c r="U73" s="189"/>
      <c r="V73" s="189"/>
      <c r="W73" s="173"/>
      <c r="X73" s="173"/>
      <c r="Y73" s="173"/>
      <c r="Z73" s="173"/>
      <c r="AA73" s="173"/>
      <c r="AB73" s="173"/>
    </row>
    <row r="74" spans="2:28" ht="15.95" customHeight="1" x14ac:dyDescent="0.3">
      <c r="B74" s="134" t="s">
        <v>164</v>
      </c>
      <c r="C74" s="135">
        <f>IF(I7=1,IF(I9=2,1.7,1.55),IF(I9=2,IF(OR(I8=1,I8=5),1.1,0.9),IF(OR(I8=1,I8=5),1,0.8)))</f>
        <v>1.7</v>
      </c>
      <c r="D74" s="50" t="s">
        <v>145</v>
      </c>
      <c r="E74" s="16"/>
      <c r="F74" s="16"/>
      <c r="G74" s="16"/>
      <c r="H74" s="16"/>
      <c r="I74" s="16"/>
      <c r="J74" s="54"/>
      <c r="K74" s="54"/>
      <c r="L74" s="16"/>
      <c r="M74" s="17"/>
      <c r="O74" s="11"/>
      <c r="P74" s="157"/>
      <c r="Q74" s="157"/>
      <c r="R74" s="157"/>
      <c r="S74" s="157"/>
      <c r="T74" s="173"/>
      <c r="U74" s="173"/>
      <c r="V74" s="190"/>
      <c r="W74" s="190"/>
      <c r="X74" s="190"/>
      <c r="Y74" s="190"/>
      <c r="Z74" s="177"/>
      <c r="AA74" s="173"/>
      <c r="AB74" s="173"/>
    </row>
    <row r="75" spans="2:28" ht="15.95" customHeight="1" x14ac:dyDescent="0.3">
      <c r="B75" s="125" t="s">
        <v>165</v>
      </c>
      <c r="C75" s="38">
        <f>IF(C21&gt;=C11,IF(I9=1,1.55,1.7),(IF(I9=1,1.55,1.7)*C21+C74*(C11-C21))/C11)</f>
        <v>1.7</v>
      </c>
      <c r="D75" s="51" t="s">
        <v>146</v>
      </c>
      <c r="E75" s="19"/>
      <c r="F75" s="19"/>
      <c r="G75" s="19"/>
      <c r="H75" s="19"/>
      <c r="I75" s="19"/>
      <c r="J75" s="36"/>
      <c r="K75" s="36"/>
      <c r="L75" s="19"/>
      <c r="M75" s="20"/>
      <c r="O75" s="191"/>
      <c r="P75" s="179"/>
      <c r="Q75" s="174"/>
      <c r="R75" s="173"/>
      <c r="S75" s="173"/>
      <c r="T75" s="173"/>
      <c r="U75" s="173"/>
      <c r="V75" s="192"/>
      <c r="W75" s="40"/>
      <c r="X75" s="173"/>
      <c r="Y75" s="173"/>
      <c r="Z75" s="178"/>
      <c r="AA75" s="173"/>
      <c r="AB75" s="173"/>
    </row>
    <row r="76" spans="2:28" ht="15.95" customHeight="1" x14ac:dyDescent="0.35">
      <c r="B76" s="116" t="s">
        <v>64</v>
      </c>
      <c r="C76" s="6">
        <f>C32*0.8</f>
        <v>15.200000000000001</v>
      </c>
      <c r="D76" s="51" t="s">
        <v>186</v>
      </c>
      <c r="E76" s="19"/>
      <c r="F76" s="19"/>
      <c r="G76" s="19"/>
      <c r="H76" s="19"/>
      <c r="I76" s="19"/>
      <c r="J76" s="19"/>
      <c r="K76" s="19"/>
      <c r="L76" s="19"/>
      <c r="M76" s="20"/>
      <c r="O76" s="11"/>
      <c r="P76" s="179"/>
      <c r="Q76" s="174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2:28" ht="15.95" customHeight="1" x14ac:dyDescent="0.35">
      <c r="B77" s="116" t="s">
        <v>63</v>
      </c>
      <c r="C77" s="133">
        <f>C33*0.5</f>
        <v>0.13</v>
      </c>
      <c r="D77" s="51" t="s">
        <v>186</v>
      </c>
      <c r="E77" s="19"/>
      <c r="F77" s="19"/>
      <c r="G77" s="19"/>
      <c r="H77" s="19"/>
      <c r="I77" s="19"/>
      <c r="J77" s="19"/>
      <c r="K77" s="19"/>
      <c r="L77" s="19"/>
      <c r="M77" s="20"/>
      <c r="O77" s="11"/>
      <c r="P77" s="179"/>
      <c r="Q77" s="174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2:28" ht="15" customHeight="1" x14ac:dyDescent="0.25">
      <c r="B78" s="122" t="s">
        <v>29</v>
      </c>
      <c r="C78" s="87">
        <f>IF(AND(I9=1,OR(I8=1,I8=5)),U12,IF(AND(OR(I8=2,I8=3,I8=4),I9=1),S12,IF(AND(I9=2,OR(I8=1,I8=5)),V12,T12)))*IF(OR(I8=5,I8=3),0.85,IF(I8=4,0.7,1))</f>
        <v>4.8611111111111107</v>
      </c>
      <c r="D78" s="51" t="s">
        <v>175</v>
      </c>
      <c r="E78" s="19"/>
      <c r="F78" s="19"/>
      <c r="G78" s="19"/>
      <c r="H78" s="19"/>
      <c r="I78" s="19"/>
      <c r="J78" s="19"/>
      <c r="K78" s="19"/>
      <c r="L78" s="19"/>
      <c r="M78" s="20"/>
      <c r="O78" s="11"/>
      <c r="P78" s="179"/>
      <c r="Q78" s="174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2:28" ht="15" customHeight="1" thickBot="1" x14ac:dyDescent="0.3">
      <c r="B79" s="159" t="s">
        <v>187</v>
      </c>
      <c r="C79" s="170">
        <f>IF(I4=1,IF(OR(I8=1,I8=2),3.5,IF(OR(I8=2,I8=3,I8=5),2.5,2.13)),IF(OR(I8=1,I8=2),3.5,IF(OR(I8=2,I8=3,I8=5),2.5,2.13))*1.15)</f>
        <v>3.5</v>
      </c>
      <c r="D79" s="53" t="s">
        <v>313</v>
      </c>
      <c r="E79" s="22"/>
      <c r="F79" s="22"/>
      <c r="G79" s="22"/>
      <c r="H79" s="22"/>
      <c r="I79" s="22"/>
      <c r="J79" s="22"/>
      <c r="K79" s="22"/>
      <c r="L79" s="22"/>
      <c r="M79" s="23"/>
      <c r="O79" s="144"/>
      <c r="P79" s="179"/>
      <c r="Q79" s="174"/>
      <c r="R79" s="173"/>
      <c r="S79" s="173"/>
      <c r="T79" s="173"/>
      <c r="U79" s="173"/>
      <c r="V79" s="173"/>
      <c r="W79" s="173"/>
      <c r="X79" s="173"/>
      <c r="Y79" s="190"/>
      <c r="Z79" s="190"/>
      <c r="AA79" s="190"/>
      <c r="AB79" s="173"/>
    </row>
    <row r="80" spans="2:28" ht="15" customHeight="1" x14ac:dyDescent="0.25"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5:28" ht="15" customHeight="1" x14ac:dyDescent="0.25">
      <c r="O81" s="11"/>
      <c r="P81" s="40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5:28" ht="15" customHeight="1" x14ac:dyDescent="0.25">
      <c r="O82" s="11"/>
      <c r="P82" s="157"/>
      <c r="Q82" s="157"/>
      <c r="R82" s="157"/>
      <c r="S82" s="157"/>
      <c r="T82" s="173"/>
      <c r="U82" s="190"/>
      <c r="V82" s="190"/>
      <c r="W82" s="190"/>
      <c r="X82" s="177"/>
      <c r="Y82" s="173"/>
      <c r="Z82" s="173"/>
      <c r="AA82" s="173"/>
      <c r="AB82" s="173"/>
    </row>
    <row r="83" spans="15:28" ht="15" customHeight="1" x14ac:dyDescent="0.25">
      <c r="O83" s="11"/>
      <c r="P83" s="179"/>
      <c r="Q83" s="174"/>
      <c r="R83" s="173"/>
      <c r="S83" s="19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5:28" ht="15" customHeight="1" x14ac:dyDescent="0.25">
      <c r="O84" s="11"/>
      <c r="P84" s="179"/>
      <c r="Q84" s="174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5:28" ht="15" customHeight="1" x14ac:dyDescent="0.25">
      <c r="O85" s="11"/>
      <c r="P85" s="179"/>
      <c r="Q85" s="174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5:28" x14ac:dyDescent="0.25">
      <c r="O86" s="11"/>
      <c r="P86" s="40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5:28" x14ac:dyDescent="0.25">
      <c r="O87" s="11"/>
      <c r="P87" s="157"/>
      <c r="Q87" s="157"/>
      <c r="R87" s="157"/>
      <c r="S87" s="157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5:28" x14ac:dyDescent="0.25">
      <c r="O88" s="11"/>
      <c r="P88" s="179"/>
      <c r="Q88" s="174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5:28" x14ac:dyDescent="0.25">
      <c r="O89" s="11"/>
      <c r="P89" s="179"/>
      <c r="Q89" s="174"/>
      <c r="R89" s="173"/>
      <c r="S89" s="173"/>
      <c r="T89" s="173"/>
      <c r="U89" s="173"/>
      <c r="V89" s="173"/>
      <c r="W89" s="194"/>
      <c r="X89" s="173"/>
      <c r="Y89" s="173"/>
      <c r="Z89" s="173"/>
      <c r="AA89" s="173"/>
      <c r="AB89" s="173"/>
    </row>
    <row r="90" spans="15:28" x14ac:dyDescent="0.25">
      <c r="O90" s="45"/>
      <c r="P90" s="138"/>
      <c r="Q90" s="174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5:28" x14ac:dyDescent="0.25"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5:28" x14ac:dyDescent="0.25">
      <c r="O92" s="173"/>
      <c r="P92" s="157"/>
      <c r="Q92" s="157"/>
      <c r="R92" s="157"/>
      <c r="S92" s="157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5:28" x14ac:dyDescent="0.25">
      <c r="O93" s="195"/>
      <c r="P93" s="173"/>
      <c r="Q93" s="174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5:28" x14ac:dyDescent="0.25">
      <c r="O94" s="195"/>
      <c r="P94" s="173"/>
      <c r="Q94" s="174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5:28" x14ac:dyDescent="0.25"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</sheetData>
  <mergeCells count="11">
    <mergeCell ref="B3:M3"/>
    <mergeCell ref="B10:M10"/>
    <mergeCell ref="B31:M31"/>
    <mergeCell ref="B22:M22"/>
    <mergeCell ref="P61:S61"/>
    <mergeCell ref="B36:M36"/>
    <mergeCell ref="B73:M73"/>
    <mergeCell ref="B26:M26"/>
    <mergeCell ref="B39:G39"/>
    <mergeCell ref="H39:M39"/>
    <mergeCell ref="U63:X63"/>
  </mergeCells>
  <conditionalFormatting sqref="C21">
    <cfRule type="expression" dxfId="9" priority="10" stopIfTrue="1">
      <formula>$I$7=1</formula>
    </cfRule>
  </conditionalFormatting>
  <conditionalFormatting sqref="B21">
    <cfRule type="expression" dxfId="8" priority="9" stopIfTrue="1">
      <formula>$I$7=1</formula>
    </cfRule>
  </conditionalFormatting>
  <conditionalFormatting sqref="E46:J46 B38:B39 G38:J38 G42:J42 G45:J45 G40:G41 G43:G44">
    <cfRule type="cellIs" dxfId="7" priority="7" operator="equal">
      <formula>"НЕ выполнено"</formula>
    </cfRule>
    <cfRule type="cellIs" dxfId="6" priority="8" operator="equal">
      <formula>"""Выполнено"""</formula>
    </cfRule>
  </conditionalFormatting>
  <conditionalFormatting sqref="H39">
    <cfRule type="cellIs" dxfId="5" priority="5" operator="equal">
      <formula>"НЕ выполнено"</formula>
    </cfRule>
    <cfRule type="cellIs" dxfId="4" priority="6" operator="equal">
      <formula>"""Выполнено"""</formula>
    </cfRule>
  </conditionalFormatting>
  <conditionalFormatting sqref="M40">
    <cfRule type="cellIs" dxfId="3" priority="3" operator="equal">
      <formula>"НЕ выполнено"</formula>
    </cfRule>
    <cfRule type="cellIs" dxfId="2" priority="4" operator="equal">
      <formula>"""Выполнено"""</formula>
    </cfRule>
  </conditionalFormatting>
  <conditionalFormatting sqref="M43">
    <cfRule type="cellIs" dxfId="1" priority="1" operator="equal">
      <formula>"НЕ выполнено"</formula>
    </cfRule>
    <cfRule type="cellIs" dxfId="0" priority="2" operator="equal">
      <formula>"""Выполнено"""</formula>
    </cfRule>
  </conditionalFormatting>
  <pageMargins left="0.25" right="0.25" top="0.75" bottom="0.75" header="0.3" footer="0.3"/>
  <pageSetup paperSize="9" scale="61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Drop Down 11">
              <controlPr defaultSize="0" autoLine="0" autoPict="0">
                <anchor moveWithCells="1" sizeWithCells="1">
                  <from>
                    <xdr:col>1</xdr:col>
                    <xdr:colOff>9525</xdr:colOff>
                    <xdr:row>2</xdr:row>
                    <xdr:rowOff>190500</xdr:rowOff>
                  </from>
                  <to>
                    <xdr:col>8</xdr:col>
                    <xdr:colOff>466725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Drop Down 12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8</xdr:col>
                    <xdr:colOff>466725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Drop Down 13">
              <controlPr defaultSize="0" autoLine="0" autoPict="0">
                <anchor moveWithCells="1" sizeWithCells="1">
                  <from>
                    <xdr:col>1</xdr:col>
                    <xdr:colOff>0</xdr:colOff>
                    <xdr:row>4</xdr:row>
                    <xdr:rowOff>200025</xdr:rowOff>
                  </from>
                  <to>
                    <xdr:col>8</xdr:col>
                    <xdr:colOff>466725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8</xdr:col>
                    <xdr:colOff>466725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Drop Down 15">
              <controlPr defaultSize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8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Drop Down 16">
              <controlPr defaultSize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8</xdr:col>
                    <xdr:colOff>466725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C41" sqref="C41"/>
    </sheetView>
  </sheetViews>
  <sheetFormatPr defaultRowHeight="15" x14ac:dyDescent="0.25"/>
  <sheetData>
    <row r="2" spans="2:8" x14ac:dyDescent="0.25">
      <c r="B2" t="s">
        <v>96</v>
      </c>
    </row>
    <row r="3" spans="2:8" ht="18" x14ac:dyDescent="0.35">
      <c r="B3" s="3"/>
      <c r="C3" s="4" t="s">
        <v>15</v>
      </c>
      <c r="D3" s="4" t="s">
        <v>16</v>
      </c>
      <c r="E3" s="4" t="s">
        <v>306</v>
      </c>
      <c r="F3" s="10" t="s">
        <v>38</v>
      </c>
      <c r="G3" s="10" t="s">
        <v>39</v>
      </c>
      <c r="H3" s="10" t="s">
        <v>40</v>
      </c>
    </row>
    <row r="4" spans="2:8" x14ac:dyDescent="0.25">
      <c r="B4" s="5" t="s">
        <v>10</v>
      </c>
      <c r="C4" s="4" t="s">
        <v>17</v>
      </c>
      <c r="D4" s="4" t="s">
        <v>22</v>
      </c>
      <c r="E4" s="4">
        <v>0</v>
      </c>
      <c r="F4" s="9">
        <v>1</v>
      </c>
      <c r="G4" s="4">
        <v>0.42499999999999999</v>
      </c>
      <c r="H4" s="10">
        <v>0.29499999999999998</v>
      </c>
    </row>
    <row r="5" spans="2:8" x14ac:dyDescent="0.25">
      <c r="B5" s="5" t="s">
        <v>11</v>
      </c>
      <c r="C5" s="4" t="s">
        <v>18</v>
      </c>
      <c r="D5" s="4" t="s">
        <v>23</v>
      </c>
      <c r="E5" s="4">
        <v>0</v>
      </c>
      <c r="F5" s="9">
        <v>1.2</v>
      </c>
      <c r="G5" s="4">
        <v>0.42499999999999999</v>
      </c>
      <c r="H5" s="10">
        <v>0.28299999999999997</v>
      </c>
    </row>
    <row r="6" spans="2:8" x14ac:dyDescent="0.25">
      <c r="B6" s="5" t="s">
        <v>12</v>
      </c>
      <c r="C6" s="4" t="s">
        <v>19</v>
      </c>
      <c r="D6" s="4" t="s">
        <v>24</v>
      </c>
      <c r="E6" s="4">
        <v>13.4</v>
      </c>
      <c r="F6" s="9">
        <v>1.7</v>
      </c>
      <c r="G6" s="4">
        <v>0.5</v>
      </c>
      <c r="H6" s="10">
        <v>0.28699999999999998</v>
      </c>
    </row>
    <row r="7" spans="2:8" x14ac:dyDescent="0.25">
      <c r="B7" s="5" t="s">
        <v>13</v>
      </c>
      <c r="C7" s="4" t="s">
        <v>20</v>
      </c>
      <c r="D7" s="4" t="s">
        <v>25</v>
      </c>
      <c r="E7" s="4">
        <v>13.4</v>
      </c>
      <c r="F7" s="9">
        <v>2</v>
      </c>
      <c r="G7" s="4">
        <v>0.5</v>
      </c>
      <c r="H7" s="10">
        <v>0.28299999999999997</v>
      </c>
    </row>
    <row r="8" spans="2:8" x14ac:dyDescent="0.25">
      <c r="B8" s="5" t="s">
        <v>14</v>
      </c>
      <c r="C8" s="4" t="s">
        <v>21</v>
      </c>
      <c r="D8" s="4" t="s">
        <v>26</v>
      </c>
      <c r="E8" s="4">
        <v>16.5</v>
      </c>
      <c r="F8" s="9">
        <v>2.5</v>
      </c>
      <c r="G8" s="4">
        <v>0.5</v>
      </c>
      <c r="H8" s="10">
        <v>0.309</v>
      </c>
    </row>
  </sheetData>
  <pageMargins left="0.7" right="0.7" top="0.75" bottom="0.75" header="0.3" footer="0.3"/>
  <pageSetup paperSize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выдергивание</vt:lpstr>
      <vt:lpstr>На сжатие</vt:lpstr>
      <vt:lpstr>На опрокидывание</vt:lpstr>
      <vt:lpstr>Справочные св.</vt:lpstr>
    </vt:vector>
  </TitlesOfParts>
  <Company>СибНИИЭ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Korzhenevskiy</dc:creator>
  <cp:lastModifiedBy>Корженевский Виталий Юрьевич</cp:lastModifiedBy>
  <cp:lastPrinted>2010-10-12T01:45:17Z</cp:lastPrinted>
  <dcterms:created xsi:type="dcterms:W3CDTF">2010-10-05T06:11:59Z</dcterms:created>
  <dcterms:modified xsi:type="dcterms:W3CDTF">2019-05-16T02:35:50Z</dcterms:modified>
</cp:coreProperties>
</file>